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V/YJA1mY9E08OCX5duPeD6XS/BUm4xOHWurkrOVX7sVKGBOi6DoJz2qgqa1BSeH+P50qSg+s9SvXVfjDEd2pvA==" workbookSaltValue="tiLaKVSBE5btSAUuqFer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BH10" i="16"/>
  <c r="T13" i="20"/>
  <c r="BF15" i="8"/>
  <c r="BF9" i="8"/>
  <c r="AU18" i="21"/>
  <c r="AH13" i="16"/>
  <c r="L16" i="2"/>
  <c r="AP13" i="16"/>
  <c r="T18" i="17"/>
  <c r="BG15" i="13"/>
  <c r="BE16" i="13"/>
  <c r="BE15" i="13"/>
  <c r="AX20" i="20"/>
  <c r="B18" i="7" l="1"/>
  <c r="S19" i="8"/>
  <c r="AB13" i="21"/>
  <c r="BG10" i="8"/>
  <c r="AZ12" i="11"/>
  <c r="BU16" i="17"/>
  <c r="C12" i="14"/>
  <c r="K12" i="14" s="1"/>
  <c r="BH16" i="11"/>
  <c r="BH10" i="11"/>
  <c r="AL16" i="11"/>
  <c r="C16" i="6"/>
  <c r="BE9" i="13"/>
  <c r="BW11" i="20"/>
  <c r="BU10" i="17"/>
  <c r="AP17" i="20"/>
  <c r="V9" i="16"/>
  <c r="U9" i="17"/>
  <c r="U19" i="17" s="1"/>
  <c r="BJ16" i="11"/>
  <c r="BM17" i="11"/>
  <c r="AQ10" i="21"/>
  <c r="BG12" i="11"/>
  <c r="BW10" i="20"/>
  <c r="BW12" i="20"/>
  <c r="BU11" i="17"/>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<sst xmlns="http://schemas.openxmlformats.org/spreadsheetml/2006/main" count="2102" uniqueCount="918">
  <si>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</si>
  <si>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</si>
  <si>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</si>
  <si>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</si>
  <si>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</si>
  <si>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</si>
  <si>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</si>
  <si>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</si>
  <si>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</si>
  <si>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</si>
  <si>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</si>
  <si>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</si>
  <si>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</si>
  <si>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</si>
  <si>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</si>
  <si>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</si>
  <si>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</si>
  <si>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</si>
  <si>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</si>
  <si>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</si>
  <si>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</si>
  <si>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</si>
  <si>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</si>
  <si>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</si>
  <si>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</si>
  <si>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</si>
  <si>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</si>
  <si>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</si>
  <si>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</si>
  <si>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</si>
  <si>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</si>
  <si>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</si>
  <si>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</si>
  <si>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</si>
  <si>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</si>
  <si>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</si>
  <si>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</si>
  <si>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</si>
  <si>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</si>
  <si>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</si>
  <si>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</si>
  <si>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</si>
  <si>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</si>
  <si>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</si>
  <si>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</si>
  <si>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</si>
  <si>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</si>
  <si>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</si>
  <si>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</si>
  <si>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</si>
  <si>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</si>
  <si>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</si>
  <si>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</si>
  <si>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</si>
  <si>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</si>
  <si>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</si>
  <si>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</si>
  <si>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</si>
  <si>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</si>
  <si>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</si>
  <si>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</si>
  <si>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</si>
  <si>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</si>
  <si>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</si>
  <si>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</si>
  <si>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</si>
  <si>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</si>
  <si>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</si>
  <si>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</si>
  <si>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</si>
  <si>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</si>
  <si>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</si>
  <si>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</si>
  <si>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</si>
  <si>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</si>
  <si>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</si>
  <si>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</si>
  <si>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</si>
  <si>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</si>
  <si>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</si>
  <si>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</si>
  <si>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</si>
  <si>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</si>
  <si>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</si>
  <si>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</si>
  <si>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</si>
  <si>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</si>
  <si>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</si>
  <si>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</si>
  <si>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</si>
  <si>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</si>
  <si>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</si>
  <si>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</si>
  <si>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</si>
  <si>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</si>
  <si>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</si>
  <si>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</si>
  <si>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</si>
  <si>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</si>
  <si>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</si>
  <si>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</si>
  <si>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</si>
  <si>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</si>
  <si>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</si>
  <si>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</si>
  <si>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</si>
  <si>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</si>
  <si>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</si>
  <si>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</si>
  <si>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</si>
  <si>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</si>
  <si>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</si>
  <si>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</si>
  <si>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</si>
  <si>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</si>
  <si>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</si>
  <si>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</si>
  <si>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</si>
  <si>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</si>
  <si>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</si>
  <si>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</si>
  <si>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</si>
  <si>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</si>
  <si>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</si>
  <si>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</si>
  <si>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</si>
  <si>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</si>
  <si>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</si>
  <si>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</si>
  <si>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</si>
  <si>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</si>
  <si>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</si>
  <si>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</si>
  <si>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</si>
  <si>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</si>
  <si>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</si>
  <si>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</si>
  <si>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</si>
  <si>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</si>
  <si>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</si>
  <si>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</si>
  <si>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</si>
  <si>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</si>
  <si>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</si>
  <si>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</si>
  <si>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</si>
  <si>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</si>
  <si>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</si>
  <si>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</si>
  <si>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</si>
  <si>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</si>
  <si>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</si>
  <si>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</si>
  <si>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</si>
  <si>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</si>
  <si>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</si>
  <si>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</si>
  <si>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</si>
  <si>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</si>
  <si>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</si>
  <si>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</si>
  <si>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</si>
  <si>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</si>
  <si>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</si>
  <si>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</si>
  <si>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</si>
  <si>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</si>
  <si>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</si>
  <si>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</si>
  <si>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</si>
  <si>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</si>
  <si>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</si>
  <si>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</si>
  <si>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</si>
  <si>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</si>
  <si>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</si>
  <si>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</si>
  <si>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</si>
  <si>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</si>
  <si>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</si>
  <si>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</si>
  <si>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</si>
  <si>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</si>
  <si>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</si>
  <si>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</si>
  <si>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</si>
  <si>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</si>
  <si>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</si>
  <si>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</si>
  <si>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</si>
  <si>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</si>
  <si>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</si>
  <si>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</si>
  <si>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</si>
  <si>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</si>
  <si>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</si>
  <si>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</si>
  <si>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</si>
  <si>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</si>
  <si>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</si>
  <si>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</si>
  <si>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</si>
  <si>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</si>
  <si>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</si>
  <si>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</si>
  <si>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</si>
  <si>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</si>
  <si>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</si>
  <si>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</si>
  <si>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</si>
  <si>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</si>
  <si>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</si>
  <si>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</si>
  <si>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</si>
  <si>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</si>
  <si>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</si>
  <si>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</si>
  <si>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</si>
  <si>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</si>
  <si>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</si>
  <si>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</si>
  <si>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</si>
  <si>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</si>
  <si>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</si>
  <si>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</si>
  <si>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</si>
  <si>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</si>
  <si>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</si>
  <si>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</si>
  <si>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</si>
  <si>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</si>
  <si>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</si>
  <si>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</si>
  <si>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</si>
  <si>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</si>
  <si>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</si>
  <si>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</si>
  <si>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</si>
  <si>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</si>
  <si>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</si>
  <si>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</si>
  <si>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</si>
  <si>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</si>
  <si>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</si>
  <si>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</si>
  <si>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</si>
  <si>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</si>
  <si>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</si>
  <si>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</si>
  <si>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</si>
  <si>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</si>
  <si>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</si>
  <si>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</si>
  <si>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</si>
  <si>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</si>
  <si>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</si>
  <si>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</si>
  <si>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</si>
  <si>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</si>
  <si>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</si>
  <si>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</si>
  <si>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</si>
  <si>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</si>
  <si>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</si>
  <si>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</si>
  <si>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</si>
  <si>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</si>
  <si>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</si>
  <si>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</si>
  <si>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</si>
  <si>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</si>
  <si>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</si>
  <si>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</si>
  <si>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</si>
  <si>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</si>
  <si>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</si>
  <si>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</si>
  <si>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</si>
  <si>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</si>
  <si>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</si>
  <si>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</si>
  <si>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</si>
  <si>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</si>
  <si>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</si>
  <si>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</si>
  <si>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</si>
  <si>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</si>
  <si>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</si>
  <si>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</si>
  <si>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</si>
  <si>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</si>
  <si>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</si>
  <si>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</si>
  <si>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</si>
  <si>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</si>
  <si>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</si>
  <si>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</si>
  <si>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</si>
  <si>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</si>
  <si>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</si>
  <si>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</si>
  <si>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</si>
  <si>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</si>
  <si>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</si>
  <si>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</si>
  <si>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</si>
  <si>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</si>
  <si>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</si>
  <si>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</si>
  <si>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</si>
  <si>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</si>
  <si>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</si>
  <si>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</si>
  <si>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</si>
  <si>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</si>
  <si>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</si>
  <si>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</si>
  <si>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</si>
  <si>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</si>
  <si>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</si>
  <si>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</si>
  <si>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</si>
  <si>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</si>
  <si>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</si>
  <si>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</si>
  <si>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</si>
  <si>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</si>
  <si>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</si>
  <si>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</si>
  <si>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</si>
  <si>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</si>
  <si>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</si>
  <si>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</si>
  <si>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</si>
  <si>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</si>
  <si>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</si>
  <si>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</si>
  <si>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</si>
  <si>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</si>
  <si>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</si>
  <si>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</si>
  <si>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</si>
  <si>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</si>
  <si>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</si>
  <si>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</si>
  <si>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</si>
  <si>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</si>
  <si>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</si>
  <si>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</si>
  <si>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</si>
  <si>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</si>
  <si>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</si>
  <si>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</si>
  <si>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</si>
  <si>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</si>
  <si>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</si>
  <si>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</si>
  <si>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</si>
  <si>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</si>
  <si>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</si>
  <si>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</si>
  <si>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</si>
  <si>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</si>
  <si>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</si>
  <si>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</si>
  <si>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</si>
  <si>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</si>
  <si>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</si>
  <si>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</si>
  <si>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</si>
  <si>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</si>
  <si>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</si>
  <si>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</si>
  <si>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</si>
  <si>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</si>
  <si>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</si>
  <si>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</si>
  <si>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</si>
  <si>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</si>
  <si>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</si>
  <si>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</si>
  <si>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</si>
  <si>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</si>
  <si>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</si>
  <si>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</si>
  <si>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</si>
  <si>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</si>
  <si>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</si>
  <si>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</si>
  <si>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</si>
  <si>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</si>
  <si>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</si>
  <si>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</si>
  <si>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</si>
  <si>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</si>
  <si>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</si>
  <si>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</si>
  <si>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</si>
  <si>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</si>
  <si>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</si>
  <si>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</si>
  <si>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</si>
  <si>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</si>
  <si>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</si>
  <si>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</si>
  <si>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</si>
  <si>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</si>
  <si>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</si>
  <si>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</si>
  <si>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</si>
  <si>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</si>
  <si>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</si>
  <si>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</si>
  <si>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</si>
  <si>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</si>
  <si>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</si>
  <si>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</si>
  <si>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</si>
  <si>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</si>
  <si>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</si>
  <si>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</si>
  <si>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</si>
  <si>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</si>
  <si>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</si>
  <si>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</si>
  <si>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</si>
  <si>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</si>
  <si>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</si>
  <si>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</si>
  <si>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</si>
  <si>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</si>
  <si>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</si>
  <si>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</si>
  <si>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</si>
  <si>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</si>
  <si>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</si>
  <si>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</si>
  <si>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</si>
  <si>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</si>
  <si>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</si>
  <si>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</si>
  <si>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</si>
  <si>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</si>
  <si>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</si>
  <si>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</si>
  <si>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</si>
  <si>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</si>
  <si>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</si>
  <si>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</si>
  <si>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</si>
  <si>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</si>
  <si>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</si>
  <si>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</si>
  <si>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</si>
  <si>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</si>
  <si>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</si>
  <si>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</si>
  <si>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</si>
  <si>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</si>
  <si>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</si>
  <si>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</si>
  <si>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</si>
  <si>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</si>
  <si>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</si>
  <si>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</si>
  <si>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</si>
  <si>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</si>
  <si>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</si>
  <si>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</si>
  <si>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</si>
  <si>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</si>
  <si>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</si>
  <si>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</si>
  <si>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</si>
  <si>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</si>
  <si>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</si>
  <si>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</si>
  <si>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</si>
  <si>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</si>
  <si>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</si>
  <si>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</si>
  <si>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</si>
  <si>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</si>
  <si>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</si>
  <si>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</si>
  <si>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</si>
  <si>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</si>
  <si>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</si>
  <si>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</si>
  <si>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</si>
  <si>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</si>
  <si>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</si>
  <si>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</si>
  <si>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</si>
  <si>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</si>
  <si>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</si>
  <si>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</si>
  <si>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</si>
  <si>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</si>
  <si>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</si>
  <si>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</si>
  <si>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</si>
  <si>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</si>
  <si>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</si>
  <si>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</si>
  <si>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</si>
  <si>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</si>
  <si>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</si>
  <si>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</si>
  <si>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</si>
  <si>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</si>
  <si>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</si>
  <si>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</si>
  <si>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</si>
  <si>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</si>
  <si>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</si>
  <si>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</si>
  <si>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</si>
  <si>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</si>
  <si>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</si>
  <si>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</si>
  <si>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</si>
  <si>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</si>
  <si>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</si>
  <si>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</si>
  <si>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</si>
  <si>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</si>
  <si>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</si>
  <si>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</si>
  <si>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</si>
  <si>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</si>
  <si>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</si>
  <si>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</si>
  <si>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</si>
  <si>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</si>
  <si>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</si>
  <si>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</si>
  <si>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</si>
  <si>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</si>
  <si>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</si>
  <si>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</si>
  <si>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</si>
  <si>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</si>
  <si>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</si>
  <si>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</si>
  <si>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</si>
  <si>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</si>
  <si>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</si>
  <si>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</si>
  <si>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</si>
  <si>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</si>
  <si>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</si>
  <si>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</si>
  <si>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</si>
  <si>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</si>
  <si>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</si>
  <si>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</si>
  <si>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</si>
  <si>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</si>
  <si>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</si>
  <si>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</si>
  <si>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</si>
  <si>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</si>
  <si>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</si>
  <si>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</si>
  <si>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</si>
  <si>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</si>
  <si>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</si>
  <si>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</si>
  <si>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</si>
  <si>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</si>
  <si>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</si>
  <si>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</si>
  <si>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</si>
  <si>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</si>
  <si>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</si>
  <si>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</si>
  <si>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</si>
  <si>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</si>
  <si>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</si>
  <si>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</si>
  <si>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</si>
  <si>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</si>
  <si>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</si>
  <si>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</si>
  <si>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</si>
  <si>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</si>
  <si>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</si>
  <si>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</si>
  <si>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</si>
  <si>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</si>
  <si>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</si>
  <si>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</si>
  <si>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</si>
  <si>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</si>
  <si>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</si>
  <si>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</si>
  <si>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</si>
  <si>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</si>
  <si>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</si>
  <si>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</si>
  <si>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</si>
  <si>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</si>
  <si>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</si>
  <si>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</si>
  <si>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</si>
  <si>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</si>
  <si>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</si>
  <si>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</si>
  <si>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</si>
  <si>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</si>
  <si>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</si>
  <si>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</si>
  <si>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</si>
  <si>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</si>
  <si>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</si>
  <si>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</si>
  <si>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</si>
  <si>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</si>
  <si>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</si>
  <si>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</si>
  <si>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</si>
  <si>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</si>
  <si>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</si>
  <si>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</si>
  <si>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</si>
  <si>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</si>
  <si>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</si>
  <si>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</si>
  <si>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</si>
  <si>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</si>
  <si>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</si>
  <si>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</si>
  <si>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</si>
  <si>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</si>
  <si>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</si>
  <si>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</si>
  <si>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</si>
  <si>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</si>
  <si>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</si>
  <si>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</si>
  <si>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</si>
  <si>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</si>
  <si>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</si>
  <si>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</si>
  <si>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</si>
  <si>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</si>
  <si>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</si>
  <si>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</si>
  <si>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</si>
  <si>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</si>
  <si>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</si>
  <si>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</si>
  <si>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</si>
  <si>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</si>
  <si>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</si>
  <si>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</si>
  <si>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</si>
  <si>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</si>
  <si>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</si>
  <si>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</si>
  <si>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</si>
  <si>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</si>
  <si>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</si>
  <si>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</si>
  <si>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</si>
  <si>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</si>
  <si>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</si>
  <si>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</si>
  <si>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</si>
  <si>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</si>
  <si>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</si>
  <si>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</si>
  <si>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</si>
  <si>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</si>
  <si>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</si>
  <si>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</si>
  <si>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</si>
  <si>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</si>
  <si>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</si>
  <si>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</si>
  <si>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</si>
  <si>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</si>
  <si>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</si>
  <si>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</si>
  <si>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</si>
  <si>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</si>
  <si>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</si>
  <si>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</si>
  <si>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</si>
  <si>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</si>
  <si>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</si>
  <si>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</si>
  <si>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</si>
  <si>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</si>
  <si>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</si>
  <si>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</si>
  <si>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</si>
  <si>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</si>
  <si>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</si>
  <si>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</si>
  <si>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</si>
  <si>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</si>
  <si>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</si>
  <si>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</si>
  <si>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</si>
  <si>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</si>
  <si>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</si>
  <si>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</si>
  <si>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</si>
  <si>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</si>
  <si>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</si>
  <si>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</si>
  <si>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</si>
  <si>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</si>
  <si>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</si>
  <si>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</si>
  <si>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</si>
  <si>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</si>
  <si>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</si>
  <si>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</si>
  <si>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</si>
  <si>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</si>
  <si>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</si>
  <si>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</si>
  <si>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</si>
  <si>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</si>
  <si>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</si>
  <si>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</si>
  <si>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</si>
  <si>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</si>
  <si>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</si>
  <si>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</si>
  <si>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</si>
  <si>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</si>
  <si>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</si>
  <si>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</si>
  <si>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</si>
  <si>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</si>
  <si>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</si>
  <si>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</si>
  <si>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</si>
  <si>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</si>
  <si>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</si>
  <si>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</si>
  <si>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</si>
  <si>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</si>
  <si>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</si>
  <si>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</si>
  <si>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</si>
  <si>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</si>
  <si>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</si>
  <si>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</si>
  <si>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</si>
  <si>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</si>
  <si>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</si>
  <si>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</si>
  <si>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</si>
  <si>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</si>
  <si>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</si>
  <si>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</si>
  <si>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</si>
  <si>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</si>
  <si>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</si>
  <si>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</si>
  <si>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</si>
  <si>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</si>
  <si>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</si>
  <si>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</si>
  <si>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</si>
  <si>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</si>
  <si>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</si>
  <si>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</si>
  <si>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</si>
  <si>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</si>
  <si>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</si>
  <si>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</si>
  <si>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</si>
  <si>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</si>
  <si>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</si>
  <si>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</si>
  <si>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</si>
  <si>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</si>
  <si>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</si>
  <si>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</si>
  <si>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</si>
  <si>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</si>
  <si>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</si>
  <si>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</si>
  <si>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</si>
  <si>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</si>
  <si>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</si>
  <si>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</si>
  <si>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</si>
  <si>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</si>
  <si>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</si>
  <si>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</si>
  <si>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</si>
  <si>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</si>
  <si>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</si>
  <si>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</si>
  <si>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</si>
  <si>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</si>
  <si>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</si>
  <si>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</si>
  <si>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</si>
  <si>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</si>
  <si>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</si>
  <si>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</si>
  <si>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</si>
  <si>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</si>
  <si>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</si>
  <si>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</si>
  <si>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</si>
  <si>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</si>
  <si>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</si>
  <si>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</si>
  <si>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</si>
  <si>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</si>
  <si>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</si>
  <si>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</si>
  <si>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</si>
  <si>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</si>
  <si>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</si>
  <si>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</si>
  <si>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</si>
  <si>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</si>
  <si>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</si>
  <si>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</si>
  <si>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</si>
  <si>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</si>
  <si>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</si>
  <si>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</si>
  <si>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</si>
  <si>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</si>
  <si>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</si>
  <si>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</si>
  <si>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</si>
  <si>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</si>
  <si>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</si>
  <si>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</si>
  <si>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</si>
  <si>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</si>
  <si>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</si>
  <si>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</si>
  <si>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</si>
  <si>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</si>
  <si>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</si>
  <si>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</si>
  <si>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</si>
  <si>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</si>
  <si>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</si>
  <si>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</si>
  <si>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</si>
  <si>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</si>
  <si>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</si>
  <si>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</si>
  <si>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</si>
  <si>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</si>
  <si>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</si>
  <si>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</si>
  <si>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</si>
  <si>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</si>
  <si>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</si>
  <si>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</si>
  <si>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</si>
  <si>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</si>
  <si>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</si>
  <si>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</si>
  <si>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</si>
  <si>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</si>
  <si>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</si>
  <si>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</si>
  <si>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</si>
  <si>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</si>
  <si>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</si>
  <si>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</si>
  <si>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</si>
  <si>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</si>
  <si>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</si>
  <si>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</si>
  <si>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</si>
  <si>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</si>
  <si>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</si>
  <si>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</si>
  <si>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</si>
  <si>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</si>
  <si>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</si>
  <si>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</si>
  <si>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</si>
  <si>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</si>
  <si>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</si>
  <si>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</si>
  <si>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</si>
  <si>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</si>
  <si>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</si>
  <si>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</si>
  <si>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</si>
  <si>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</si>
  <si>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</si>
  <si>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</si>
  <si>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</si>
  <si>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</si>
  <si>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</si>
  <si>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</si>
  <si>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</si>
  <si>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</si>
  <si>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</si>
  <si>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</si>
  <si>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</si>
  <si>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</si>
  <si>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</si>
  <si>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</si>
  <si>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</si>
  <si>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</si>
  <si>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LAS PALMAS</t>
  </si>
  <si>
    <t>Resumenes por Partidos Judiciales</t>
  </si>
  <si>
    <t>SANTA MARIA DE GUIA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</si>
</sst>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24gf5VTgQy7R4J+PHwa0cyZBR3rqjTE4KC7mrtMZMHvnKrl9qceNW5Ds9WbvGudgI3NC4akiGMdLhUr6VP1Dw==" saltValue="Oz+DJFYWMj3rdHj2ctTp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36</v>
      </c>
      <c r="D10" s="225">
        <f>IF(ISNUMBER(Datos!I10),Datos!I10," - ")</f>
        <v>36</v>
      </c>
      <c r="E10" s="226">
        <f>IF(ISNUMBER(Datos!J10),Datos!J10," - ")</f>
        <v>1</v>
      </c>
      <c r="F10" s="226">
        <f>IF(ISNUMBER(Datos!K10),Datos!K10," - ")</f>
        <v>4</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90.75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30.821170809943865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v>
      </c>
      <c r="D13" s="1049">
        <f>SUBTOTAL(9,D9:D12)</f>
        <v>36</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1278</v>
      </c>
      <c r="D16" s="225">
        <f>IF(ISNUMBER(IF(D_I="SI",Datos!I16,Datos!I16+Datos!AC16)),IF(D_I="SI",Datos!I16,Datos!I16+Datos!AC16)," - ")</f>
        <v>1465</v>
      </c>
      <c r="E16" s="226">
        <f>IF(ISNUMBER(IF(D_I="SI",Datos!J16,Datos!J16+Datos!AD16)),IF(D_I="SI",Datos!J16,Datos!J16+Datos!AD16)," - ")</f>
        <v>981</v>
      </c>
      <c r="F16" s="226">
        <f>IF(ISNUMBER(IF(D_I="SI",Datos!K16,Datos!K16+Datos!AE16)),IF(D_I="SI",Datos!K16,Datos!K16+Datos!AE16)," - ")</f>
        <v>973</v>
      </c>
      <c r="G16" s="1034" t="str">
        <f>IF(Datos!E16&lt;&gt;"",Datos!E16,Datos!D16)</f>
        <v>04</v>
      </c>
      <c r="H16" s="227">
        <f>IF(ISNUMBER(IF(D_I="SI",Datos!L16,Datos!L16+Datos!AF16)),IF(D_I="SI",Datos!L16,Datos!L16+Datos!AF16)," - ")</f>
        <v>1286</v>
      </c>
      <c r="I16" s="1044" t="str">
        <f>IF(ISNUMBER(Datos!AS16/Datos!BM16),Datos!AS16/Datos!BM16," - ")</f>
        <v xml:space="preserve"> - </v>
      </c>
      <c r="J16" s="1045">
        <f>IF(ISNUMBER(Datos!BY16/Datos!CN16),Datos!BY16/Datos!CN16," - ")</f>
        <v>0</v>
      </c>
      <c r="K16" s="230">
        <f t="shared" si="3"/>
        <v>6.2597809076682318E-3</v>
      </c>
      <c r="L16" s="1025">
        <f>IF(ISNUMBER(NºAsuntos!I16/NºAsuntos!G16),(NºAsuntos!I16/NºAsuntos!G16)*11," - ")</f>
        <v>14.538540596094554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84</v>
      </c>
      <c r="D17" s="225">
        <f>IF(ISNUMBER(IF(D_I="SI",Datos!I17,Datos!I17+Datos!AC17)),IF(D_I="SI",Datos!I17,Datos!I17+Datos!AC17)," - ")</f>
        <v>84</v>
      </c>
      <c r="E17" s="226">
        <f>IF(ISNUMBER(IF(D_I="SI",Datos!J17,Datos!J17+Datos!AD17)),IF(D_I="SI",Datos!J17,Datos!J17+Datos!AD17)," - ")</f>
        <v>43</v>
      </c>
      <c r="F17" s="226">
        <f>IF(ISNUMBER(IF(D_I="SI",Datos!K17,Datos!K17+Datos!AE17)),IF(D_I="SI",Datos!K17,Datos!K17+Datos!AE17)," - ")</f>
        <v>84</v>
      </c>
      <c r="G17" s="1034" t="str">
        <f>IF(Datos!E17&lt;&gt;"",Datos!E17,Datos!D17)</f>
        <v>37</v>
      </c>
      <c r="H17" s="227">
        <f>IF(ISNUMBER(IF(D_I="SI",Datos!L17,Datos!L17+Datos!AF17)),IF(D_I="SI",Datos!L17,Datos!L17+Datos!AF17)," - ")</f>
        <v>43</v>
      </c>
      <c r="I17" s="1044" t="str">
        <f>IF(ISNUMBER(Datos!AS17/Datos!BM17),Datos!AS17/Datos!BM17," - ")</f>
        <v xml:space="preserve"> - </v>
      </c>
      <c r="J17" s="1045" t="str">
        <f>IF(ISNUMBER((Datos!BY17+Datos!BZ17)/Datos!CN17),(Datos!BY17+Datos!BZ17)/Datos!CN17," - ")</f>
        <v xml:space="preserve"> - </v>
      </c>
      <c r="K17" s="230">
        <f t="shared" si="3"/>
        <v>-0.48809523809523808</v>
      </c>
      <c r="L17" s="1025">
        <f>IF(ISNUMBER(NºAsuntos!I17/NºAsuntos!G17),(NºAsuntos!I17/NºAsuntos!G17)*11," - ")</f>
        <v>5.6309523809523805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1362</v>
      </c>
      <c r="D18" s="1049">
        <f>SUBTOTAL(9,D15:D17)</f>
        <v>1549</v>
      </c>
      <c r="E18" s="1050">
        <f>SUBTOTAL(9,E15:E17)</f>
        <v>1024</v>
      </c>
      <c r="F18" s="1050">
        <f>SUBTOTAL(9,F15:F17)</f>
        <v>1057</v>
      </c>
      <c r="G18" s="1052" t="str">
        <f ca="1">INDIRECT(CONCATENATE("G",ROW()-1))</f>
        <v>37</v>
      </c>
      <c r="H18" s="1053">
        <f ca="1">SUMIF(G$14:G17,G18,H$14:H17)</f>
        <v>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1398</v>
      </c>
      <c r="D19" s="1071">
        <f>SUBTOTAL(9,D9:D18)</f>
        <v>1585</v>
      </c>
      <c r="E19" s="1072">
        <f>SUBTOTAL(9,E9:E18)</f>
        <v>1025</v>
      </c>
      <c r="F19" s="1072">
        <f>SUBTOTAL(9,F9:F18)</f>
        <v>1061</v>
      </c>
      <c r="G19" s="1073"/>
      <c r="H19" s="1074">
        <f ca="1">SUMIF(B9:B18,"TOTAL",H9:H18)</f>
        <v>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NUO/ziEDjuPgnXtcgY5iNqdbwmOB8fSOA9098NDYAmOTHNLVXCtdyiiyadk6GNrCpTDCiltH/2e00FtWhSpeA==" saltValue="XI1KF2e1hj1/HwZdxyx8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sq1NCg53IQEhB7qYDyR/vRlAKoi6pPq9ZwYpd0jAKkszX4uskW7ChFl+VkBQUQtt7Frb46JzhPKdLmP7YAcPA==" saltValue="PCEi1TfnspWEzOzALmTd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v>
      </c>
      <c r="J10" s="181">
        <v>1</v>
      </c>
      <c r="K10" s="181">
        <v>4</v>
      </c>
      <c r="L10" s="181">
        <v>33</v>
      </c>
      <c r="M10" s="181">
        <v>4</v>
      </c>
      <c r="N10" s="181">
        <v>0</v>
      </c>
      <c r="O10" s="181">
        <v>0</v>
      </c>
      <c r="P10" s="181">
        <v>0</v>
      </c>
      <c r="Q10" s="181">
        <v>0</v>
      </c>
      <c r="R10" s="181">
        <v>0</v>
      </c>
      <c r="S10" s="181">
        <v>46</v>
      </c>
      <c r="T10" s="181">
        <v>4</v>
      </c>
      <c r="U10" s="181">
        <v>4</v>
      </c>
      <c r="V10" s="181">
        <v>46</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4</v>
      </c>
      <c r="BA10" s="129">
        <f t="shared" si="0"/>
        <v>4</v>
      </c>
      <c r="BB10" s="129">
        <f t="shared" si="0"/>
        <v>46</v>
      </c>
      <c r="BC10" s="125">
        <f t="shared" si="0"/>
        <v>2</v>
      </c>
      <c r="BD10" s="126">
        <f>IF(ISNUMBER(BA10/AZ10),BA10/AZ10," - ")</f>
        <v>1</v>
      </c>
      <c r="BE10" s="127">
        <f>IF(ISNUMBER(BB10/BA10),BB10/BA10, " - ")</f>
        <v>11.5</v>
      </c>
      <c r="BF10" s="127">
        <f>IF(ISNUMBER(BC10/BA10),BC10/BA10, " - ")</f>
        <v>0.5</v>
      </c>
      <c r="BG10" s="196">
        <f>IF(ISNUMBER((AY10+AZ10)/BA10),(AY10+AZ10)/BA10," - ")</f>
        <v>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3624</v>
      </c>
      <c r="J12" s="183">
        <v>1296</v>
      </c>
      <c r="K12" s="183">
        <v>1176</v>
      </c>
      <c r="L12" s="183">
        <v>3310</v>
      </c>
      <c r="M12" s="183">
        <v>286</v>
      </c>
      <c r="N12" s="183">
        <v>669</v>
      </c>
      <c r="O12" s="181">
        <v>365</v>
      </c>
      <c r="P12" s="183">
        <v>242</v>
      </c>
      <c r="Q12" s="183">
        <v>112</v>
      </c>
      <c r="R12" s="183">
        <v>3144</v>
      </c>
      <c r="S12" s="183">
        <v>3043</v>
      </c>
      <c r="T12" s="183">
        <v>1587</v>
      </c>
      <c r="U12" s="183">
        <v>965</v>
      </c>
      <c r="V12" s="183">
        <v>3665</v>
      </c>
      <c r="W12" s="183">
        <v>188</v>
      </c>
      <c r="X12" s="189">
        <v>502</v>
      </c>
      <c r="Y12" s="191">
        <v>178</v>
      </c>
      <c r="Z12" s="181">
        <v>77</v>
      </c>
      <c r="AA12" s="181">
        <v>71</v>
      </c>
      <c r="AB12" s="181">
        <v>184</v>
      </c>
      <c r="AC12" s="183">
        <v>0</v>
      </c>
      <c r="AD12" s="183">
        <v>0</v>
      </c>
      <c r="AE12" s="183">
        <v>0</v>
      </c>
      <c r="AF12" s="189">
        <v>0</v>
      </c>
      <c r="AG12" s="202">
        <v>157</v>
      </c>
      <c r="AH12" s="183">
        <v>84</v>
      </c>
      <c r="AI12" s="183">
        <v>69</v>
      </c>
      <c r="AJ12" s="203">
        <v>172</v>
      </c>
      <c r="AK12" s="182">
        <v>0</v>
      </c>
      <c r="AL12" s="183">
        <v>0</v>
      </c>
      <c r="AM12" s="183">
        <v>0</v>
      </c>
      <c r="AN12" s="189">
        <v>0</v>
      </c>
      <c r="AO12" s="259">
        <v>3</v>
      </c>
      <c r="AP12" s="155">
        <v>3</v>
      </c>
      <c r="AQ12" s="155">
        <v>3</v>
      </c>
      <c r="AR12" s="154">
        <v>3</v>
      </c>
      <c r="AS12" s="340" t="s">
        <v>802</v>
      </c>
      <c r="AT12" s="203"/>
      <c r="AU12" s="202"/>
      <c r="AV12" s="203"/>
      <c r="AW12" s="202"/>
      <c r="AX12" s="203"/>
      <c r="AY12" s="126">
        <f t="shared" si="1"/>
        <v>3200</v>
      </c>
      <c r="AZ12" s="127">
        <f t="shared" si="1"/>
        <v>1671</v>
      </c>
      <c r="BA12" s="127">
        <f t="shared" si="1"/>
        <v>1034</v>
      </c>
      <c r="BB12" s="127">
        <f t="shared" si="1"/>
        <v>3837</v>
      </c>
      <c r="BC12" s="125">
        <f>IF(ISNUMBER(X12),X12," - ")</f>
        <v>502</v>
      </c>
      <c r="BD12" s="126">
        <f t="shared" si="2"/>
        <v>0.61879114302812688</v>
      </c>
      <c r="BE12" s="127">
        <f t="shared" si="3"/>
        <v>3.7108317214700195</v>
      </c>
      <c r="BF12" s="127">
        <f t="shared" si="4"/>
        <v>0.48549323017408125</v>
      </c>
      <c r="BG12" s="196">
        <f t="shared" si="5"/>
        <v>4.7108317214700195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3660</v>
      </c>
      <c r="J13" s="184">
        <f t="shared" si="6"/>
        <v>1297</v>
      </c>
      <c r="K13" s="184">
        <f t="shared" si="6"/>
        <v>1180</v>
      </c>
      <c r="L13" s="184">
        <f t="shared" si="6"/>
        <v>3343</v>
      </c>
      <c r="M13" s="184">
        <f t="shared" si="6"/>
        <v>290</v>
      </c>
      <c r="N13" s="184">
        <f t="shared" si="6"/>
        <v>669</v>
      </c>
      <c r="O13" s="184">
        <f t="shared" si="6"/>
        <v>365</v>
      </c>
      <c r="P13" s="184">
        <f t="shared" si="6"/>
        <v>242</v>
      </c>
      <c r="Q13" s="184">
        <f t="shared" si="6"/>
        <v>112</v>
      </c>
      <c r="R13" s="184">
        <f t="shared" si="6"/>
        <v>3144</v>
      </c>
      <c r="S13" s="184">
        <f t="shared" si="6"/>
        <v>3089</v>
      </c>
      <c r="T13" s="184">
        <f t="shared" si="6"/>
        <v>1591</v>
      </c>
      <c r="U13" s="184">
        <f t="shared" si="6"/>
        <v>969</v>
      </c>
      <c r="V13" s="184">
        <f t="shared" si="6"/>
        <v>3711</v>
      </c>
      <c r="W13" s="184">
        <f t="shared" si="6"/>
        <v>190</v>
      </c>
      <c r="X13" s="184">
        <f t="shared" si="6"/>
        <v>504</v>
      </c>
      <c r="Y13" s="184">
        <f t="shared" si="6"/>
        <v>178</v>
      </c>
      <c r="Z13" s="184">
        <f t="shared" si="6"/>
        <v>77</v>
      </c>
      <c r="AA13" s="184">
        <f t="shared" si="6"/>
        <v>71</v>
      </c>
      <c r="AB13" s="184">
        <f t="shared" si="6"/>
        <v>184</v>
      </c>
      <c r="AC13" s="184">
        <f t="shared" si="6"/>
        <v>0</v>
      </c>
      <c r="AD13" s="184">
        <f t="shared" si="6"/>
        <v>0</v>
      </c>
      <c r="AE13" s="184">
        <f t="shared" si="6"/>
        <v>0</v>
      </c>
      <c r="AF13" s="184">
        <f>SUBTOTAL(9,AF9:AF12)</f>
        <v>0</v>
      </c>
      <c r="AG13" s="184">
        <f t="shared" ref="AG13:AT13" si="7">SUBTOTAL(9,AG8:AG12)</f>
        <v>157</v>
      </c>
      <c r="AH13" s="184">
        <f t="shared" si="7"/>
        <v>84</v>
      </c>
      <c r="AI13" s="184">
        <f t="shared" si="7"/>
        <v>69</v>
      </c>
      <c r="AJ13" s="184">
        <f t="shared" si="7"/>
        <v>172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3246</v>
      </c>
      <c r="AZ13" s="184">
        <f>SUBTOTAL(9,AZ8:AZ12)</f>
        <v>1675</v>
      </c>
      <c r="BA13" s="184">
        <f>SUBTOTAL(9,BA8:BA12)</f>
        <v>1038</v>
      </c>
      <c r="BB13" s="184">
        <f>SUBTOTAL(9,BB8:BB12)</f>
        <v>3883</v>
      </c>
      <c r="BC13" s="184">
        <f>SUBTOTAL(9,BC8:BC12)</f>
        <v>504</v>
      </c>
      <c r="BD13" s="205">
        <f>IF(ISNUMBER(BA13/AZ13),BA13/AZ13," - ")</f>
        <v>0.61970149253731344</v>
      </c>
      <c r="BE13" s="206">
        <f>IF(ISNUMBER(BB13/BA13),BB13/BA13, " - ")</f>
        <v>3.7408477842003856</v>
      </c>
      <c r="BF13" s="206">
        <f>IF(ISNUMBER(BC13/BA13),BC13/BA13, " - ")</f>
        <v>0.48554913294797686</v>
      </c>
      <c r="BG13" s="207">
        <f>IF(ISNUMBER((AY13+AZ13)/BA13),(AY13+AZ13)/BA13," - ")</f>
        <v>4.7408477842003851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1465</v>
      </c>
      <c r="J16" s="183">
        <v>981</v>
      </c>
      <c r="K16" s="183">
        <v>973</v>
      </c>
      <c r="L16" s="183">
        <v>1286</v>
      </c>
      <c r="M16" s="183">
        <v>176</v>
      </c>
      <c r="N16" s="183">
        <v>593</v>
      </c>
      <c r="O16" s="181">
        <v>88</v>
      </c>
      <c r="P16" s="183">
        <v>55</v>
      </c>
      <c r="Q16" s="183">
        <v>100</v>
      </c>
      <c r="R16" s="183">
        <v>138</v>
      </c>
      <c r="S16" s="183">
        <v>1315</v>
      </c>
      <c r="T16" s="183">
        <v>981</v>
      </c>
      <c r="U16" s="183">
        <v>894</v>
      </c>
      <c r="V16" s="183">
        <v>1405</v>
      </c>
      <c r="W16" s="183">
        <v>150</v>
      </c>
      <c r="X16" s="189">
        <v>577</v>
      </c>
      <c r="Y16" s="202">
        <v>0</v>
      </c>
      <c r="Z16" s="183">
        <v>0</v>
      </c>
      <c r="AA16" s="183">
        <v>0</v>
      </c>
      <c r="AB16" s="183">
        <v>0</v>
      </c>
      <c r="AC16" s="183">
        <v>0</v>
      </c>
      <c r="AD16" s="183">
        <v>17</v>
      </c>
      <c r="AE16" s="183">
        <v>17</v>
      </c>
      <c r="AF16" s="189">
        <v>0</v>
      </c>
      <c r="AG16" s="202">
        <v>0</v>
      </c>
      <c r="AH16" s="183">
        <v>0</v>
      </c>
      <c r="AI16" s="183">
        <v>0</v>
      </c>
      <c r="AJ16" s="203">
        <v>0</v>
      </c>
      <c r="AK16" s="182">
        <v>0</v>
      </c>
      <c r="AL16" s="183">
        <v>12</v>
      </c>
      <c r="AM16" s="183">
        <v>12</v>
      </c>
      <c r="AN16" s="189">
        <v>0</v>
      </c>
      <c r="AO16" s="259">
        <v>3</v>
      </c>
      <c r="AP16" s="155">
        <v>3</v>
      </c>
      <c r="AQ16" s="155">
        <v>3</v>
      </c>
      <c r="AR16" s="155">
        <v>3</v>
      </c>
      <c r="AS16" s="340" t="s">
        <v>487</v>
      </c>
      <c r="AT16" s="203"/>
      <c r="AU16" s="202"/>
      <c r="AV16" s="203"/>
      <c r="AW16" s="202"/>
      <c r="AX16" s="203"/>
      <c r="AY16" s="126">
        <f t="shared" si="9"/>
        <v>1315</v>
      </c>
      <c r="AZ16" s="127">
        <f t="shared" si="9"/>
        <v>981</v>
      </c>
      <c r="BA16" s="127">
        <f t="shared" si="9"/>
        <v>894</v>
      </c>
      <c r="BB16" s="127">
        <f t="shared" si="9"/>
        <v>1405</v>
      </c>
      <c r="BC16" s="125">
        <f>IF(ISNUMBER(W16),W16," - ")</f>
        <v>150</v>
      </c>
      <c r="BD16" s="126">
        <f t="shared" ref="BD16" si="11">IF(ISNUMBER(BA16/AZ16),BA16/AZ16," - ")</f>
        <v>0.91131498470948014</v>
      </c>
      <c r="BE16" s="127">
        <f t="shared" ref="BE16" si="12">IF(ISNUMBER(BB16/BA16),BB16/BA16, " - ")</f>
        <v>1.5715883668903803</v>
      </c>
      <c r="BF16" s="127">
        <f t="shared" ref="BF16" si="13">IF(ISNUMBER(BC16/BA16),BC16/BA16, " - ")</f>
        <v>0.16778523489932887</v>
      </c>
      <c r="BG16" s="196">
        <f t="shared" si="10"/>
        <v>2.5682326621923939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84</v>
      </c>
      <c r="J17" s="183">
        <v>43</v>
      </c>
      <c r="K17" s="183">
        <v>84</v>
      </c>
      <c r="L17" s="183">
        <v>43</v>
      </c>
      <c r="M17" s="183">
        <v>17</v>
      </c>
      <c r="N17" s="183">
        <v>51</v>
      </c>
      <c r="O17" s="183">
        <v>0</v>
      </c>
      <c r="P17" s="183">
        <v>7</v>
      </c>
      <c r="Q17" s="183">
        <v>2</v>
      </c>
      <c r="R17" s="183">
        <v>7</v>
      </c>
      <c r="S17" s="183">
        <v>84</v>
      </c>
      <c r="T17" s="183">
        <v>53</v>
      </c>
      <c r="U17" s="183">
        <v>51</v>
      </c>
      <c r="V17" s="183">
        <v>86</v>
      </c>
      <c r="W17" s="183">
        <v>24</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84</v>
      </c>
      <c r="AZ17" s="129">
        <f t="shared" si="14"/>
        <v>53</v>
      </c>
      <c r="BA17" s="129">
        <f t="shared" si="14"/>
        <v>51</v>
      </c>
      <c r="BB17" s="129">
        <f t="shared" si="14"/>
        <v>86</v>
      </c>
      <c r="BC17" s="125">
        <f>IF(ISNUMBER(W17),W17," - ")</f>
        <v>24</v>
      </c>
      <c r="BD17" s="126">
        <f>IF(ISNUMBER(BA17/AZ17),BA17/AZ17," - ")</f>
        <v>0.96226415094339623</v>
      </c>
      <c r="BE17" s="127">
        <f>IF(ISNUMBER(BB17/BA17),BB17/BA17, " - ")</f>
        <v>1.6862745098039216</v>
      </c>
      <c r="BF17" s="127">
        <f>IF(ISNUMBER(BC17/BA17),BC17/BA17, " - ")</f>
        <v>0.47058823529411764</v>
      </c>
      <c r="BG17" s="196">
        <f>IF(ISNUMBER((AY17+AZ17)/BA17),(AY17+AZ17)/BA17," - ")</f>
        <v>2.6862745098039214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1549</v>
      </c>
      <c r="J18" s="184">
        <f t="shared" si="15"/>
        <v>1024</v>
      </c>
      <c r="K18" s="184">
        <f t="shared" si="15"/>
        <v>1057</v>
      </c>
      <c r="L18" s="184">
        <f t="shared" si="15"/>
        <v>1329</v>
      </c>
      <c r="M18" s="184">
        <f t="shared" si="15"/>
        <v>193</v>
      </c>
      <c r="N18" s="184">
        <f t="shared" si="15"/>
        <v>644</v>
      </c>
      <c r="O18" s="184">
        <f t="shared" si="15"/>
        <v>88</v>
      </c>
      <c r="P18" s="184">
        <f t="shared" si="15"/>
        <v>62</v>
      </c>
      <c r="Q18" s="184">
        <f t="shared" si="15"/>
        <v>102</v>
      </c>
      <c r="R18" s="184">
        <f t="shared" si="15"/>
        <v>145</v>
      </c>
      <c r="S18" s="184">
        <f t="shared" si="15"/>
        <v>1399</v>
      </c>
      <c r="T18" s="184">
        <f t="shared" si="15"/>
        <v>1034</v>
      </c>
      <c r="U18" s="184">
        <f t="shared" si="15"/>
        <v>945</v>
      </c>
      <c r="V18" s="184">
        <f t="shared" si="15"/>
        <v>1491</v>
      </c>
      <c r="W18" s="184">
        <f t="shared" si="15"/>
        <v>174</v>
      </c>
      <c r="X18" s="184">
        <f t="shared" si="15"/>
        <v>613</v>
      </c>
      <c r="Y18" s="184">
        <f t="shared" si="15"/>
        <v>0</v>
      </c>
      <c r="Z18" s="184">
        <f t="shared" si="15"/>
        <v>0</v>
      </c>
      <c r="AA18" s="184">
        <f t="shared" si="15"/>
        <v>0</v>
      </c>
      <c r="AB18" s="184">
        <f t="shared" si="15"/>
        <v>0</v>
      </c>
      <c r="AC18" s="184">
        <f t="shared" si="15"/>
        <v>0</v>
      </c>
      <c r="AD18" s="184">
        <f t="shared" si="15"/>
        <v>17</v>
      </c>
      <c r="AE18" s="184">
        <f t="shared" si="15"/>
        <v>17</v>
      </c>
      <c r="AF18" s="184">
        <f t="shared" si="15"/>
        <v>0</v>
      </c>
      <c r="AG18" s="184">
        <f t="shared" si="15"/>
        <v>0</v>
      </c>
      <c r="AH18" s="184">
        <f t="shared" si="15"/>
        <v>0</v>
      </c>
      <c r="AI18" s="184">
        <f t="shared" si="15"/>
        <v>0</v>
      </c>
      <c r="AJ18" s="184">
        <f t="shared" si="15"/>
        <v>0</v>
      </c>
      <c r="AK18" s="184">
        <f t="shared" si="15"/>
        <v>0</v>
      </c>
      <c r="AL18" s="184">
        <f t="shared" si="15"/>
        <v>12</v>
      </c>
      <c r="AM18" s="184">
        <f t="shared" si="15"/>
        <v>12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1399</v>
      </c>
      <c r="AZ18" s="184">
        <f>SUBTOTAL(9,AZ14:AZ17)</f>
        <v>1034</v>
      </c>
      <c r="BA18" s="184">
        <f>SUBTOTAL(9,BA14:BA17)</f>
        <v>945</v>
      </c>
      <c r="BB18" s="184">
        <f>SUBTOTAL(9,BB14:BB17)</f>
        <v>1491</v>
      </c>
      <c r="BC18" s="184">
        <f>SUBTOTAL(9,BC14:BC17)</f>
        <v>174</v>
      </c>
      <c r="BD18" s="205">
        <f>IF(ISNUMBER(BA18/AZ18),BA18/AZ18," - ")</f>
        <v>0.91392649903288203</v>
      </c>
      <c r="BE18" s="206">
        <f>IF(ISNUMBER(BB18/BA18),BB18/BA18, " - ")</f>
        <v>1.5777777777777777</v>
      </c>
      <c r="BF18" s="206">
        <f>IF(ISNUMBER(BC18/BA18),BC18/BA18, " - ")</f>
        <v>0.18412698412698414</v>
      </c>
      <c r="BG18" s="207">
        <f>IF(ISNUMBER((AY18+AZ18)/BA18),(AY18+AZ18)/BA18," - ")</f>
        <v>2.5746031746031748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5209</v>
      </c>
      <c r="J19" s="134">
        <f t="shared" si="18"/>
        <v>2321</v>
      </c>
      <c r="K19" s="134">
        <f t="shared" si="18"/>
        <v>2237</v>
      </c>
      <c r="L19" s="134">
        <f t="shared" si="18"/>
        <v>4672</v>
      </c>
      <c r="M19" s="134">
        <f t="shared" si="18"/>
        <v>483</v>
      </c>
      <c r="N19" s="134">
        <f t="shared" si="18"/>
        <v>1313</v>
      </c>
      <c r="O19" s="134">
        <f t="shared" si="18"/>
        <v>453</v>
      </c>
      <c r="P19" s="134">
        <f t="shared" si="18"/>
        <v>304</v>
      </c>
      <c r="Q19" s="134">
        <f t="shared" si="18"/>
        <v>214</v>
      </c>
      <c r="R19" s="134">
        <f t="shared" si="18"/>
        <v>3289</v>
      </c>
      <c r="S19" s="134">
        <f t="shared" si="18"/>
        <v>4488</v>
      </c>
      <c r="T19" s="134">
        <f t="shared" si="18"/>
        <v>2625</v>
      </c>
      <c r="U19" s="134">
        <f t="shared" si="18"/>
        <v>1914</v>
      </c>
      <c r="V19" s="134">
        <f t="shared" si="18"/>
        <v>5202</v>
      </c>
      <c r="W19" s="134">
        <f t="shared" si="18"/>
        <v>364</v>
      </c>
      <c r="X19" s="134">
        <f t="shared" si="18"/>
        <v>1117</v>
      </c>
      <c r="Y19" s="134">
        <f t="shared" si="18"/>
        <v>178</v>
      </c>
      <c r="Z19" s="134">
        <f t="shared" si="18"/>
        <v>77</v>
      </c>
      <c r="AA19" s="134">
        <f t="shared" si="18"/>
        <v>71</v>
      </c>
      <c r="AB19" s="134">
        <f t="shared" si="18"/>
        <v>184</v>
      </c>
      <c r="AC19" s="134">
        <f t="shared" si="18"/>
        <v>0</v>
      </c>
      <c r="AD19" s="134">
        <f t="shared" si="18"/>
        <v>17</v>
      </c>
      <c r="AE19" s="134">
        <f t="shared" si="18"/>
        <v>17</v>
      </c>
      <c r="AF19" s="134">
        <f t="shared" si="18"/>
        <v>0</v>
      </c>
      <c r="AG19" s="134">
        <f t="shared" si="18"/>
        <v>157</v>
      </c>
      <c r="AH19" s="134">
        <f t="shared" si="18"/>
        <v>84</v>
      </c>
      <c r="AI19" s="134">
        <f t="shared" si="18"/>
        <v>69</v>
      </c>
      <c r="AJ19" s="134">
        <f t="shared" si="18"/>
        <v>172</v>
      </c>
      <c r="AK19" s="134">
        <f t="shared" si="18"/>
        <v>0</v>
      </c>
      <c r="AL19" s="134">
        <f t="shared" si="18"/>
        <v>12</v>
      </c>
      <c r="AM19" s="134">
        <f t="shared" si="18"/>
        <v>12</v>
      </c>
      <c r="AN19" s="210">
        <f t="shared" si="18"/>
        <v>0</v>
      </c>
      <c r="AO19" s="211">
        <v>4</v>
      </c>
      <c r="AP19" s="211">
        <v>3</v>
      </c>
      <c r="AQ19" s="211">
        <v>3</v>
      </c>
      <c r="AR19" s="211">
        <v>3</v>
      </c>
      <c r="AS19" s="153">
        <f t="shared" si="18"/>
        <v>0</v>
      </c>
      <c r="AT19" s="153">
        <f t="shared" si="18"/>
        <v>0</v>
      </c>
      <c r="AU19" s="211"/>
      <c r="AV19" s="212"/>
      <c r="AW19" s="211"/>
      <c r="AX19" s="212"/>
      <c r="AY19" s="133">
        <f>SUBTOTAL(9,AY9:AY18)</f>
        <v>4645</v>
      </c>
      <c r="AZ19" s="134">
        <f>SUBTOTAL(9,AZ9:AZ18)</f>
        <v>2709</v>
      </c>
      <c r="BA19" s="134">
        <f>SUBTOTAL(9,BA9:BA18)</f>
        <v>1983</v>
      </c>
      <c r="BB19" s="134">
        <f>SUBTOTAL(9,BB9:BB18)</f>
        <v>5374</v>
      </c>
      <c r="BC19" s="135">
        <f>SUBTOTAL(9,BC9:BC18)</f>
        <v>678</v>
      </c>
      <c r="BD19" s="213">
        <f>IF(ISNUMBER(BA19/AZ19),BA19/AZ19," - ")</f>
        <v>0.73200442967884827</v>
      </c>
      <c r="BE19" s="210">
        <f>IF(ISNUMBER(BB19/BA19),BB19/BA19, " - ")</f>
        <v>2.7100353000504285</v>
      </c>
      <c r="BF19" s="210">
        <f>IF(ISNUMBER(BC19/BA19),BC19/BA19, " - ")</f>
        <v>0.34190620272314676</v>
      </c>
      <c r="BG19" s="135">
        <f>IF(ISNUMBER((AY19+AZ19)/BA19),(AY19+AZ19)/BA19," - ")</f>
        <v>3.7085224407463437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mXMPkz+Una0oIzk7OkQn1hu3Exi+WgPETSzZXfJSH/sHtLLASUG1nLWHbfTqk+oZC8LK7A5HArL+ic/YCpyPQ==" saltValue="sOD1HV/3O468c+LDKD/E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o5OpI6iSQh98ZOKZQ18jcCtSSYAReri3H+eN3JVm2XV3I57OwCQY0j73bIbDOA+bVTEcAVqv1wmpvt16z5D7w==" saltValue="v7lQyIZpArrAQ9Mb8m7T6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SANTA MARIA DE GUIA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36</v>
      </c>
      <c r="G10" s="333">
        <f>IF(ISNUMBER(Datos!I10),Datos!I10," - ")</f>
        <v>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24.75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77</v>
      </c>
      <c r="O12" s="334"/>
      <c r="P12" s="334"/>
      <c r="Q12" s="226">
        <f>IF(ISNUMBER(Datos!P12),Datos!P12,0)</f>
        <v>242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184</v>
      </c>
      <c r="AI12" s="334" t="str">
        <f>IF(ISNUMBER(Datos!CD12),Datos!CD12,"-")</f>
        <v>-</v>
      </c>
      <c r="AJ12" s="334" t="str">
        <f>IF(ISNUMBER(Datos!EN12),Datos!EN12," - ")</f>
        <v xml:space="preserve"> - </v>
      </c>
      <c r="AK12" s="334"/>
      <c r="AL12" s="479"/>
      <c r="AM12" s="335">
        <f>IF(ISNUMBER(Datos!R12),Datos!R12," - ")</f>
        <v>3144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286</v>
      </c>
      <c r="BD12" s="229">
        <f>IF(ISNUMBER(Datos!N12),Datos!N12," - ")</f>
        <v>669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0.90823015294974507</v>
      </c>
      <c r="BH12" s="260">
        <f>IF(ISNUMBER(((IF(J_V="SI",Datos!L12/Datos!K12,(Datos!L12+Datos!AB12)/(Datos!K12+Datos!AA12)))*11)/factor_trimestre),((IF(J_V="SI",Datos!L12/Datos!K12,(Datos!L12+Datos!AB12)/(Datos!K12+Datos!AA12)))*11)/factor_trimestre," - ")</f>
        <v>8.4057738572574188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4.3132050431320505E-2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36</v>
      </c>
      <c r="G13" s="898">
        <f t="shared" si="0"/>
        <v>36</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242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112</v>
      </c>
      <c r="AD13" s="899">
        <f t="shared" si="1"/>
        <v>0</v>
      </c>
      <c r="AE13" s="899">
        <f t="shared" si="1"/>
        <v>0</v>
      </c>
      <c r="AF13" s="899">
        <f t="shared" si="1"/>
        <v>33</v>
      </c>
      <c r="AG13" s="899">
        <f t="shared" si="1"/>
        <v>0</v>
      </c>
      <c r="AH13" s="899">
        <f t="shared" si="1"/>
        <v>184</v>
      </c>
      <c r="AI13" s="899">
        <f t="shared" si="1"/>
        <v>0</v>
      </c>
      <c r="AJ13" s="899">
        <f t="shared" si="1"/>
        <v>0</v>
      </c>
      <c r="AK13" s="899">
        <f t="shared" si="1"/>
        <v>0</v>
      </c>
      <c r="AL13" s="899">
        <f t="shared" si="1"/>
        <v>0</v>
      </c>
      <c r="AM13" s="899">
        <f t="shared" si="1"/>
        <v>3144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290</v>
      </c>
      <c r="BD13" s="899">
        <f t="shared" si="1"/>
        <v>669</v>
      </c>
      <c r="BE13" s="899">
        <f t="shared" si="1"/>
        <v>0</v>
      </c>
      <c r="BF13" s="899">
        <f t="shared" si="1"/>
        <v>0</v>
      </c>
      <c r="BG13" s="899">
        <f>IF(ISNUMBER(Datos!K13/Datos!J13),Datos!K13/Datos!J13," - ")</f>
        <v>0.90979182729375485</v>
      </c>
      <c r="BH13" s="903">
        <f>IF(ISNUMBER(((Datos!L13/Datos!K13)*11)/factor_trimestre),((Datos!L13/Datos!K13)*11)/factor_trimestre," - ")</f>
        <v>8.4991525423728831</v>
      </c>
      <c r="BI13" s="899">
        <f>IF(ISNUMBER('Resol  Asuntos'!D13/NºAsuntos!G13),'Resol  Asuntos'!D13/NºAsuntos!G13," - ")</f>
        <v>0.23181454836131096</v>
      </c>
      <c r="BJ13" s="899" t="str">
        <f>IF(ISNUMBER(Datos!CI13/Datos!CJ13),Datos!CI13/Datos!CJ13," - ")</f>
        <v xml:space="preserve"> - </v>
      </c>
      <c r="BK13" s="899">
        <f>SUBTOTAL(9,BK8:BK12)</f>
        <v>0</v>
      </c>
      <c r="BL13" s="899">
        <f>IF(ISNUMBER((I13-AB13+L13)/(F13)),(I13-AB13+L13)/(F13)," - ")</f>
        <v>-0.1111111111111111</v>
      </c>
      <c r="BM13" s="904">
        <f>SUBTOTAL(9,BM9:BM12)</f>
        <v>4.3132050431320505E-2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1278</v>
      </c>
      <c r="G16" s="598">
        <f>IF(ISNUMBER(IF(D_I="SI",Datos!I16,Datos!I16+Datos!AC16)),IF(D_I="SI",Datos!I16,Datos!I16+Datos!AC16)," - ")</f>
        <v>1465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973</v>
      </c>
      <c r="AC16" s="226">
        <f>IF(ISNUMBER(Datos!Q16),Datos!Q16," - ")</f>
        <v>100</v>
      </c>
      <c r="AD16" s="334"/>
      <c r="AE16" s="484"/>
      <c r="AF16" s="596">
        <f>IF(ISNUMBER(IF(D_I="SI",Datos!L16,Datos!L16+Datos!AF16)),IF(D_I="SI",Datos!L16,Datos!L16+Datos!AF16)," - ")</f>
        <v>1286</v>
      </c>
      <c r="AG16" s="334"/>
      <c r="AH16" s="334"/>
      <c r="AI16" s="334"/>
      <c r="AJ16" s="334"/>
      <c r="AK16" s="334"/>
      <c r="AL16" s="479"/>
      <c r="AM16" s="335">
        <f>IF(ISNUMBER(Datos!R16),Datos!R16," - ")</f>
        <v>138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176</v>
      </c>
      <c r="BD16" s="229">
        <f>IF(ISNUMBER(Datos!N16),Datos!N16," - ")</f>
        <v>593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0.99184505606523954</v>
      </c>
      <c r="BH16" s="260">
        <f>IF(ISNUMBER(((IF(D_I="SI",Datos!L16/Datos!K16,(Datos!L16+Datos!AF16)/(Datos!K16+Datos!AE16)))*11)/factor_trimestre),((IF(D_I="SI",Datos!L16/Datos!K16,(Datos!L16+Datos!AF16)/(Datos!K16+Datos!AE16)))*11)/factor_trimestre," - ")</f>
        <v>3.9650565262076061</v>
      </c>
      <c r="BI16" s="243">
        <f>IF(ISNUMBER('Resol  Asuntos'!D16/NºAsuntos!G16),'Resol  Asuntos'!D16/NºAsuntos!G16," - ")</f>
        <v>0.18088386433710174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v>
      </c>
      <c r="AC17" s="226">
        <f>IF(ISNUMBER(Datos!Q17),Datos!Q17," - ")</f>
        <v>2</v>
      </c>
      <c r="AD17" s="334"/>
      <c r="AE17" s="484"/>
      <c r="AF17" s="332">
        <f>IF(ISNUMBER(Datos!L17),Datos!L17,"-")</f>
        <v>43</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1.9534883720930232</v>
      </c>
      <c r="BH17" s="260">
        <f>IF(ISNUMBER(((IF(D_I="SI",Datos!L17/Datos!K17,(Datos!L17+Datos!AF17)/(Datos!K17+Datos!AE17)))*11)/factor_trimestre),((IF(D_I="SI",Datos!L17/Datos!K17,(Datos!L17+Datos!AF17)/(Datos!K17+Datos!AE17)))*11)/factor_trimestre," - ")</f>
        <v>1.5357142857142856</v>
      </c>
      <c r="BI17" s="243">
        <f>IF(ISNUMBER('Resol  Asuntos'!D17/NºAsuntos!G17),'Resol  Asuntos'!D17/NºAsuntos!G17," - ")</f>
        <v>0.20238095238095238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1278</v>
      </c>
      <c r="G18" s="898">
        <f>SUBTOTAL(9,G15:G17)</f>
        <v>1549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1057</v>
      </c>
      <c r="AC18" s="899">
        <f t="shared" si="4"/>
        <v>102</v>
      </c>
      <c r="AD18" s="899">
        <f t="shared" si="4"/>
        <v>0</v>
      </c>
      <c r="AE18" s="899">
        <f t="shared" si="4"/>
        <v>0</v>
      </c>
      <c r="AF18" s="899">
        <f t="shared" si="4"/>
        <v>1329</v>
      </c>
      <c r="AG18" s="899">
        <f t="shared" si="4"/>
        <v>0</v>
      </c>
      <c r="AH18" s="899">
        <f t="shared" si="4"/>
        <v>0</v>
      </c>
      <c r="AI18" s="899">
        <f t="shared" si="4"/>
        <v>0</v>
      </c>
      <c r="AJ18" s="899">
        <f t="shared" si="4"/>
        <v>0</v>
      </c>
      <c r="AK18" s="899">
        <f t="shared" si="4"/>
        <v>0</v>
      </c>
      <c r="AL18" s="899">
        <f t="shared" si="4"/>
        <v>0</v>
      </c>
      <c r="AM18" s="899">
        <f t="shared" si="4"/>
        <v>145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193</v>
      </c>
      <c r="BD18" s="899">
        <f t="shared" si="4"/>
        <v>644</v>
      </c>
      <c r="BE18" s="899">
        <f t="shared" si="4"/>
        <v>0</v>
      </c>
      <c r="BF18" s="899">
        <f t="shared" si="4"/>
        <v>0</v>
      </c>
      <c r="BG18" s="899">
        <f>IF(ISNUMBER(Datos!K18/Datos!J18),Datos!K18/Datos!J18," - ")</f>
        <v>1.0322265625</v>
      </c>
      <c r="BH18" s="903">
        <f>IF(ISNUMBER(((Datos!L18/Datos!K18)*11)/factor_trimestre),((Datos!L18/Datos!K18)*11)/factor_trimestre," - ")</f>
        <v>3.7719962157048248</v>
      </c>
      <c r="BI18" s="899">
        <f>SUBTOTAL(9,BI15:BI17)</f>
        <v>0.38326481671805412</v>
      </c>
      <c r="BJ18" s="899">
        <f>SUBTOTAL(9,BJ15:BJ17)</f>
        <v>0</v>
      </c>
      <c r="BK18" s="899">
        <f>SUBTOTAL(9,BK15:BK17)</f>
        <v>0</v>
      </c>
      <c r="BL18" s="899">
        <f>IF(ISNUMBER((I18-AB18+L18)/(F18)),(I18-AB18+L18)/(F18)," - ")</f>
        <v>-0.82707355242566505</v>
      </c>
      <c r="BM18" s="905">
        <f>IF(ISNUMBER((Datos!P18-Datos!Q18)/(Datos!R18-Datos!P18+Datos!Q18)),(Datos!P18-Datos!Q18)/(Datos!R18-Datos!P18+Datos!Q18)," - ")</f>
        <v>-0.21621621621621623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1314</v>
      </c>
      <c r="G19" s="820">
        <f t="shared" si="6"/>
        <v>1585</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304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1061</v>
      </c>
      <c r="AC19" s="821">
        <f t="shared" si="7"/>
        <v>214</v>
      </c>
      <c r="AD19" s="821">
        <f t="shared" si="7"/>
        <v>0</v>
      </c>
      <c r="AE19" s="821">
        <f t="shared" si="7"/>
        <v>0</v>
      </c>
      <c r="AF19" s="828">
        <f t="shared" si="7"/>
        <v>1362</v>
      </c>
      <c r="AG19" s="828">
        <f t="shared" si="7"/>
        <v>0</v>
      </c>
      <c r="AH19" s="828">
        <f t="shared" si="7"/>
        <v>184</v>
      </c>
      <c r="AI19" s="828">
        <f t="shared" si="7"/>
        <v>0</v>
      </c>
      <c r="AJ19" s="821">
        <f t="shared" si="7"/>
        <v>0</v>
      </c>
      <c r="AK19" s="828">
        <f t="shared" si="7"/>
        <v>0</v>
      </c>
      <c r="AL19" s="828">
        <f t="shared" si="7"/>
        <v>0</v>
      </c>
      <c r="AM19" s="828">
        <f t="shared" si="7"/>
        <v>3289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483</v>
      </c>
      <c r="BD19" s="820">
        <f t="shared" si="7"/>
        <v>1313</v>
      </c>
      <c r="BE19" s="820">
        <f t="shared" si="7"/>
        <v>0</v>
      </c>
      <c r="BF19" s="830">
        <f t="shared" si="7"/>
        <v>0</v>
      </c>
      <c r="BG19" s="915">
        <f>IF(ISNUMBER(Datos!K19/Datos!J19),Datos!K19/Datos!J19," - ")</f>
        <v>0.96380870314519607</v>
      </c>
      <c r="BH19" s="915">
        <f>IF(ISNUMBER(((Datos!L19/Datos!K19)*11)/factor_trimestre),((Datos!L19/Datos!K19)*11)/factor_trimestre," - ")</f>
        <v>6.265534197586053</v>
      </c>
      <c r="BI19" s="813">
        <f>IF(ISNUMBER(Datos!J19/Datos!I19),Datos!J19/Datos!I19," - ")</f>
        <v>0.44557496640430028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-0.80745814307458141</v>
      </c>
      <c r="BM19" s="889">
        <f>IF(ISNUMBER((Datos!P19-Datos!Q19+R19)/(Datos!R19-Datos!P19+Datos!Q19-R19)),(Datos!P19-Datos!Q19+R19)/(Datos!R19-Datos!P19+Datos!Q19-R19)," - ")</f>
        <v>2.8133791809940606E-2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717.06903433351522</v>
      </c>
      <c r="G21" s="552">
        <f>IF(ISNUMBER(STDEV(G8:G18)),STDEV(G8:G18),"-")</f>
        <v>797.73021755478214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540.94574589324577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125.61846997953764</v>
      </c>
      <c r="BD21" s="551"/>
      <c r="BE21" s="551">
        <f>IF(ISNUMBER(STDEV(BE8:BE18)),STDEV(BE8:BE18),"-")</f>
        <v>0</v>
      </c>
      <c r="BF21" s="556">
        <f>IF(ISNUMBER(STDEV(BF8:BF18)),STDEV(BF8:BF18),"-")</f>
        <v>0</v>
      </c>
      <c r="BG21" s="775">
        <f>IF(ISNUMBER(STDEV(BG8:BG18)),STDEV(BG8:BG18),"-")</f>
        <v>1.226843967240276</v>
      </c>
      <c r="BH21" s="776">
        <f>IF(ISNUMBER(STDEV(BH8:BH18)),STDEV(BH8:BH18),"-")</f>
        <v>8.4319809714652028</v>
      </c>
      <c r="BI21" s="249">
        <f>IF(ISNUMBER(STDEV(BI8:BI18)),STDEV(BI8:BI18),"-")</f>
        <v>9.1531689408344497E-2</v>
      </c>
      <c r="BJ21" s="230" t="str">
        <f>IF(ISNUMBER(BL21/BM21),BL21/BM21," - ")</f>
        <v xml:space="preserve"> - </v>
      </c>
      <c r="BK21" s="575"/>
      <c r="BL21" s="559">
        <f>IF(ISNUMBER(STDEV(BL8:BL18)),STDEV(BL8:BL18),"-")</f>
        <v>0.50626189732839666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gM/Tv6lypXObrf+KHe+4Qjzp6RmGe+hHJxjxJvbQkKfxlnlaN7CQqiCF4IGdNNvf5+lqpYsCGdAnhBy9P/Ml3A==" saltValue="A0zmguakGMrdaMNrTBbt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SANTA MARIA DE GUIA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36</v>
      </c>
      <c r="G10" s="225">
        <f>IF(ISNUMBER(Datos!I10),Datos!I10," - ")</f>
        <v>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112</v>
      </c>
      <c r="AA12" s="332" t="str">
        <f>IF(ISNUMBER(IF(J_V="SI",Datos!L12,Datos!L12+Datos!AB12)-IF(Monitorios="SI",Datos!CD12,0)),
                          IF(J_V="SI",Datos!L12,Datos!L12+Datos!AB12)-IF(Monitorios="SI",Datos!CD12,0),
                          " - ")</f>
        <v xml:space="preserve"> - </v>
      </c>
      <c r="AB12" s="334"/>
      <c r="AC12" s="334"/>
      <c r="AD12" s="484"/>
      <c r="AE12" s="484">
        <f>IF(ISNUMBER(Datos!R12),Datos!R12," - ")</f>
        <v>3144</v>
      </c>
      <c r="AF12" s="229" t="str">
        <f>IF(ISNUMBER(Datos!BV12),Datos!BV12," - ")</f>
        <v xml:space="preserve"> - </v>
      </c>
      <c r="AG12" s="225" t="str">
        <f>IF(ISNUMBER(Datos!DV12),Datos!DV12," - ")</f>
        <v xml:space="preserve"> - </v>
      </c>
      <c r="AH12" s="298"/>
      <c r="AI12" s="227"/>
      <c r="AJ12" s="225">
        <f>IF(ISNUMBER(Datos!M12),Datos!M12," - ")</f>
        <v>286</v>
      </c>
      <c r="AK12" s="229">
        <f>IF(ISNUMBER(Datos!N12),Datos!N12," - ")</f>
        <v>669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8.4057738572574188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4.3132050431320505E-2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36</v>
      </c>
      <c r="G13" s="898">
        <f>SUBTOTAL(9,G8:G12)</f>
        <v>36</v>
      </c>
      <c r="H13" s="908"/>
      <c r="I13" s="898">
        <f t="shared" ref="I13:N13" si="0">SUBTOTAL(9,I8:I12)</f>
        <v>0</v>
      </c>
      <c r="J13" s="867">
        <f t="shared" si="0"/>
        <v>0</v>
      </c>
      <c r="K13" s="908">
        <f t="shared" si="0"/>
        <v>0</v>
      </c>
      <c r="L13" s="908">
        <f t="shared" si="0"/>
        <v>0</v>
      </c>
      <c r="M13" s="908">
        <f t="shared" si="0"/>
        <v>0</v>
      </c>
      <c r="N13" s="908">
        <f t="shared" si="0"/>
        <v>242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112</v>
      </c>
      <c r="AA13" s="900">
        <f t="shared" si="2"/>
        <v>33</v>
      </c>
      <c r="AB13" s="900">
        <f t="shared" si="2"/>
        <v>0</v>
      </c>
      <c r="AC13" s="900">
        <f t="shared" si="2"/>
        <v>0</v>
      </c>
      <c r="AD13" s="900">
        <f t="shared" si="2"/>
        <v>0</v>
      </c>
      <c r="AE13" s="900">
        <f t="shared" si="2"/>
        <v>3144</v>
      </c>
      <c r="AF13" s="908">
        <f t="shared" si="2"/>
        <v>0</v>
      </c>
      <c r="AG13" s="908">
        <f t="shared" si="2"/>
        <v>0</v>
      </c>
      <c r="AH13" s="908">
        <f t="shared" si="2"/>
        <v>0</v>
      </c>
      <c r="AI13" s="908">
        <f t="shared" si="2"/>
        <v>0</v>
      </c>
      <c r="AJ13" s="908">
        <f t="shared" si="2"/>
        <v>290</v>
      </c>
      <c r="AK13" s="908">
        <f t="shared" si="2"/>
        <v>669</v>
      </c>
      <c r="AL13" s="908">
        <f t="shared" si="2"/>
        <v>0</v>
      </c>
      <c r="AM13" s="908">
        <f t="shared" si="2"/>
        <v>0</v>
      </c>
      <c r="AN13" s="908">
        <f t="shared" si="2"/>
        <v>0</v>
      </c>
      <c r="AO13" s="904">
        <f>IF(ISNUMBER(((NºAsuntos!I13/NºAsuntos!G13)*11)/factor_trimestre),((NºAsuntos!I13/NºAsuntos!G13)*11)/factor_trimestre," - ")</f>
        <v>8.4580335731414866</v>
      </c>
      <c r="AP13" s="910" t="str">
        <f>IF(ISNUMBER(Datos!CI13/Datos!CJ13),Datos!CI13/Datos!CJ13," - ")</f>
        <v xml:space="preserve"> - </v>
      </c>
      <c r="AQ13" s="928">
        <f t="shared" ref="AQ13:AV13" si="3">SUBTOTAL(9,AQ9:AQ12)</f>
        <v>0</v>
      </c>
      <c r="AR13" s="928">
        <f t="shared" si="3"/>
        <v>4.3132050431320505E-2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1278</v>
      </c>
      <c r="G16" s="225">
        <f>IF(ISNUMBER(IF(D_I="SI",Datos!I16,Datos!I16+Datos!AC16)),IF(D_I="SI",Datos!I16,Datos!I16+Datos!AC16)," - ")</f>
        <v>1465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973</v>
      </c>
      <c r="Z16" s="619">
        <f>IF(ISNUMBER(Datos!Q16),Datos!Q16," - ")</f>
        <v>100</v>
      </c>
      <c r="AA16" s="332">
        <f>IF(ISNUMBER(IF(D_I="SI",Datos!L16,Datos!L16+Datos!AF16)),IF(D_I="SI",Datos!L16,Datos!L16+Datos!AF16)," - ")</f>
        <v>1286</v>
      </c>
      <c r="AB16" s="334"/>
      <c r="AC16" s="334"/>
      <c r="AD16" s="484"/>
      <c r="AE16" s="484">
        <f>IF(ISNUMBER(Datos!R16),Datos!R16," - ")</f>
        <v>138</v>
      </c>
      <c r="AF16" s="229" t="str">
        <f>IF(ISNUMBER(Datos!BV16),Datos!BV16," - ")</f>
        <v xml:space="preserve"> - </v>
      </c>
      <c r="AG16" s="225"/>
      <c r="AH16" s="298"/>
      <c r="AI16" s="227"/>
      <c r="AJ16" s="225">
        <f>IF(ISNUMBER(Datos!M16),Datos!M16," - ")</f>
        <v>176</v>
      </c>
      <c r="AK16" s="229">
        <f>IF(ISNUMBER(Datos!N16),Datos!N16," - ")</f>
        <v>593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3.9650565262076061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v>
      </c>
      <c r="Z17" s="619">
        <f>IF(ISNUMBER(Datos!Q17),Datos!Q17," - ")</f>
        <v>2</v>
      </c>
      <c r="AA17" s="332">
        <f>IF(ISNUMBER(Datos!L17),Datos!L17,"-")</f>
        <v>43</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17</v>
      </c>
      <c r="AK17" s="229">
        <f>IF(ISNUMBER(Datos!N17),Datos!N17," - ")</f>
        <v>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1.5357142857142856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1278</v>
      </c>
      <c r="G18" s="898">
        <f>SUBTOTAL(9,G15:G17)</f>
        <v>1549</v>
      </c>
      <c r="H18" s="932">
        <f>SUBTOTAL(9,H15:H17)</f>
        <v>0</v>
      </c>
      <c r="I18" s="911">
        <f>SUBTOTAL(9,I15:I17)</f>
        <v>0</v>
      </c>
      <c r="J18" s="867">
        <f>SUBTOTAL(9,J14:J17)</f>
        <v>0</v>
      </c>
      <c r="K18" s="932">
        <f t="shared" ref="K18:S18" si="4">SUBTOTAL(9,K15:K17)</f>
        <v>0</v>
      </c>
      <c r="L18" s="932">
        <f t="shared" si="4"/>
        <v>0</v>
      </c>
      <c r="M18" s="932">
        <f t="shared" si="4"/>
        <v>0</v>
      </c>
      <c r="N18" s="932">
        <f t="shared" si="4"/>
        <v>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1057</v>
      </c>
      <c r="Z18" s="932">
        <f t="shared" si="5"/>
        <v>102</v>
      </c>
      <c r="AA18" s="932">
        <f t="shared" si="5"/>
        <v>1329</v>
      </c>
      <c r="AB18" s="932">
        <f t="shared" si="5"/>
        <v>0</v>
      </c>
      <c r="AC18" s="932">
        <f t="shared" si="5"/>
        <v>0</v>
      </c>
      <c r="AD18" s="932">
        <f t="shared" si="5"/>
        <v>0</v>
      </c>
      <c r="AE18" s="932">
        <f t="shared" si="5"/>
        <v>145</v>
      </c>
      <c r="AF18" s="932">
        <f t="shared" si="5"/>
        <v>0</v>
      </c>
      <c r="AG18" s="932">
        <f t="shared" si="5"/>
        <v>0</v>
      </c>
      <c r="AH18" s="932">
        <f t="shared" si="5"/>
        <v>0</v>
      </c>
      <c r="AI18" s="932">
        <f t="shared" si="5"/>
        <v>0</v>
      </c>
      <c r="AJ18" s="932">
        <f t="shared" si="5"/>
        <v>193</v>
      </c>
      <c r="AK18" s="932">
        <f t="shared" si="5"/>
        <v>644</v>
      </c>
      <c r="AL18" s="932">
        <f t="shared" si="5"/>
        <v>0</v>
      </c>
      <c r="AM18" s="932">
        <f t="shared" si="5"/>
        <v>0</v>
      </c>
      <c r="AN18" s="932">
        <f t="shared" si="5"/>
        <v>0</v>
      </c>
      <c r="AO18" s="934">
        <f>IF(ISNUMBER(((NºAsuntos!I18/NºAsuntos!G18)*11)/factor_trimestre),((NºAsuntos!I18/NºAsuntos!G18)*11)/factor_trimestre," - ")</f>
        <v>3.7719962157048248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1314</v>
      </c>
      <c r="G19" s="820">
        <f t="shared" si="7"/>
        <v>1585</v>
      </c>
      <c r="H19" s="821">
        <f t="shared" si="7"/>
        <v>0</v>
      </c>
      <c r="I19" s="820">
        <f t="shared" si="7"/>
        <v>0</v>
      </c>
      <c r="J19" s="822">
        <f t="shared" si="7"/>
        <v>0</v>
      </c>
      <c r="K19" s="820">
        <f t="shared" si="7"/>
        <v>0</v>
      </c>
      <c r="L19" s="823">
        <f t="shared" si="7"/>
        <v>0</v>
      </c>
      <c r="M19" s="820">
        <f t="shared" si="7"/>
        <v>0</v>
      </c>
      <c r="N19" s="821">
        <f t="shared" si="7"/>
        <v>304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1061</v>
      </c>
      <c r="Z19" s="827">
        <f t="shared" si="8"/>
        <v>214</v>
      </c>
      <c r="AA19" s="828">
        <f t="shared" si="8"/>
        <v>1362</v>
      </c>
      <c r="AB19" s="828">
        <f t="shared" si="8"/>
        <v>0</v>
      </c>
      <c r="AC19" s="828">
        <f t="shared" si="8"/>
        <v>0</v>
      </c>
      <c r="AD19" s="829">
        <f t="shared" si="8"/>
        <v>0</v>
      </c>
      <c r="AE19" s="829">
        <f t="shared" si="8"/>
        <v>3289</v>
      </c>
      <c r="AF19" s="830">
        <f t="shared" si="8"/>
        <v>0</v>
      </c>
      <c r="AG19" s="831">
        <f t="shared" si="8"/>
        <v>0</v>
      </c>
      <c r="AH19" s="832">
        <f t="shared" si="8"/>
        <v>0</v>
      </c>
      <c r="AI19" s="830">
        <f t="shared" si="8"/>
        <v>0</v>
      </c>
      <c r="AJ19" s="820">
        <f t="shared" si="8"/>
        <v>483</v>
      </c>
      <c r="AK19" s="820">
        <f t="shared" si="8"/>
        <v>1313</v>
      </c>
      <c r="AL19" s="820">
        <f t="shared" si="8"/>
        <v>0</v>
      </c>
      <c r="AM19" s="833">
        <f t="shared" si="8"/>
        <v>0</v>
      </c>
      <c r="AN19" s="823">
        <f>IF(ISNUMBER(Datos!K19/Datos!J19),Datos!K19/Datos!J19," - ")</f>
        <v>0.96380870314519607</v>
      </c>
      <c r="AO19" s="823">
        <f>IF(ISNUMBER(FIND("06",Criterios!A8,1)),(IF(ISNUMBER(((Datos!R19/Datos!Q19)*11)/factor_trimestre),((Datos!R19/Datos!Q19)*11)/factor_trimestre," - ")),(IF(ISNUMBER(((Datos!L19/Datos!K19)*11)/factor_trimestre),((Datos!L19/Datos!K19)*11)/factor_trimestre," - ")))</f>
        <v>6.265534197586053</v>
      </c>
      <c r="AP19" s="834" t="str">
        <f>IF(ISNUMBER(Datos!CI19/Datos!CJ19),Datos!CI19/Datos!CJ19," - ")</f>
        <v xml:space="preserve"> - </v>
      </c>
      <c r="AQ19" s="834">
        <f>IF(OR(ISNUMBER(FIND("01",Criterios!A8,1)),ISNUMBER(FIND("02",Criterios!A8,1)),ISNUMBER(FIND("03",Criterios!A8,1)),ISNUMBER(FIND("04",Criterios!A8,1))),(J19-Y19+K19)/(F19-K19),(I19-Y19+K19)/(F19-K19))</f>
        <v>-0.80745814307458141</v>
      </c>
      <c r="AR19" s="834">
        <f>IF(ISNUMBER((Datos!P19-Datos!Q19+O19)/(Datos!R19-Datos!P19+Datos!Q19-O19)),(Datos!P19-Datos!Q19+O19)/(Datos!R19-Datos!P19+Datos!Q19-O19)," - ")</f>
        <v>2.8133791809940606E-2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717.06903433351522</v>
      </c>
      <c r="G21" s="552">
        <f>IF(ISNUMBER(STDEV(G8:G18)),STDEV(G8:G18),"-")</f>
        <v>797.73021755478214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125.61846997953764</v>
      </c>
      <c r="AK21" s="252"/>
      <c r="AL21" s="252">
        <f>IF(ISNUMBER(STDEV(AL8:AL18)),STDEV(AL8:AL18),"-")</f>
        <v>0</v>
      </c>
      <c r="AM21" s="254">
        <f>IF(ISNUMBER(STDEV(AM8:AM18)),STDEV(AM8:AM18),"-")</f>
        <v>0</v>
      </c>
      <c r="AN21" s="539">
        <f>IF(ISNUMBER(STDEV(AN8:AN18)),STDEV(AN8:AN18),"-")</f>
        <v>0</v>
      </c>
      <c r="AO21" s="540">
        <f>IF(ISNUMBER(STDEV(AO8:AO18)),STDEV(AO8:AO18),"-")</f>
        <v>8.4319867543345932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UwnsPOzZNikA7k6QC/Jn2XFv0ezkfKsJS26udtXepukwXTwJj5OMzp6h+ENWfoft/6PeyDOsZ4neIQnL2nJkgQ==" saltValue="XmBfX6f7TmEgynxIej4f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chEKKOuZ0WH5fugIkTyTvqDB/y+wnA348LyvnwzqX/gfM4Ly9f6OqjVt/ZjNMK1Mi4gC6jO9xki2j5PRMuGFw==" saltValue="Ptl4AecCyhUIvtp31/My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P4OYEPA38rm4yx1fGTyvtF1tFhiHaLzv3VdKEvn+ojIHnbsqRYrVdmXpTx+gdHTy/vKva3266JbTiJQkhZEhA==" saltValue="A1ra+Z35z1R6/Y+foCBM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SANTA MARIA DE GUIA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0.23181454836131096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0.16391763912397986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GCLh6oZ1JiMNrwWYKrUehehMLbHyJGHFRlDEUXnFh9LFdvLcxWmBqK+2oXq1joIcZbcc3xp254bnCiiWLKh2g==" saltValue="N9zyyCp5Hf5fj7TCaBRU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VxuPCefiGoWHofkR026LabplQvMAsUG2JDtBNVSF6R/7Pgmf9oRBozd/WR7Jt5fdWkaQCGH+B3UWA10H5HAIg==" saltValue="3lZzjUuuw6Qzqgufgmp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SANTA MARIA DE GUIA DE GRAN CANARIA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36</v>
      </c>
      <c r="D10" s="404">
        <f>IF(ISNUMBER(C10/Datos!BH10),C10/Datos!BH10," - ")</f>
        <v>36</v>
      </c>
      <c r="E10" s="403">
        <f>IF(ISNUMBER(Datos!J10),Datos!J10," - ")</f>
        <v>1</v>
      </c>
      <c r="F10" s="404">
        <f>IF(ISNUMBER(E10/B10),E10/B10," - ")</f>
        <v>1</v>
      </c>
      <c r="G10" s="403">
        <f>IF(ISNUMBER(Datos!K10),Datos!K10," - ")</f>
        <v>4</v>
      </c>
      <c r="H10" s="404">
        <f>IF(ISNUMBER(G10/B10),G10/B10," - ")</f>
        <v>4</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3802</v>
      </c>
      <c r="D12" s="404">
        <f>IF(ISNUMBER(C12/Datos!BH12),C12/Datos!BH12," - ")</f>
        <v>1267.3333333333333</v>
      </c>
      <c r="E12" s="403">
        <f>IF(ISNUMBER(IF(J_V="SI",Datos!J12,Datos!J12+Datos!Z12)),IF(J_V="SI",Datos!J12,Datos!J12+Datos!Z12)," - ")</f>
        <v>1373</v>
      </c>
      <c r="F12" s="404">
        <f>IF(ISNUMBER(E12/B12),E12/B12," - ")</f>
        <v>457.66666666666669</v>
      </c>
      <c r="G12" s="403">
        <f>IF(ISNUMBER(IF(J_V="SI",Datos!K12,Datos!K12+Datos!AA12)),IF(J_V="SI",Datos!K12,Datos!K12+Datos!AA12)," - ")</f>
        <v>1247</v>
      </c>
      <c r="H12" s="404">
        <f>IF(ISNUMBER(G12/B12),G12/B12," - ")</f>
        <v>415.66666666666669</v>
      </c>
      <c r="I12" s="403">
        <f>IF(ISNUMBER(IF(J_V="SI",Datos!L12,Datos!L12+Datos!AB12)),IF(J_V="SI",Datos!L12,Datos!L12+Datos!AB12)," - ")</f>
        <v>3494</v>
      </c>
      <c r="J12" s="404">
        <f>IF(ISNUMBER(I12/B12),I12/B12," - ")</f>
        <v>1164.6666666666667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3838</v>
      </c>
      <c r="D13" s="850" t="str">
        <f>IF(ISNUMBER(C13/Datos!BI13),C13/Datos!BI13," - ")</f>
        <v xml:space="preserve"> - </v>
      </c>
      <c r="E13" s="849">
        <f>SUBTOTAL(9,E8:E12)</f>
        <v>1374</v>
      </c>
      <c r="F13" s="850">
        <f>IF(ISNUMBER(E13/B13),E13/B13," - ")</f>
        <v>458</v>
      </c>
      <c r="G13" s="849">
        <f>SUBTOTAL(9,G8:G12)</f>
        <v>1251</v>
      </c>
      <c r="H13" s="850">
        <f>IF(ISNUMBER(G13/B13),G13/B13," - ")</f>
        <v>417</v>
      </c>
      <c r="I13" s="849">
        <f>SUBTOTAL(9,I8:I12)</f>
        <v>3527</v>
      </c>
      <c r="J13" s="850">
        <f>IF(ISNUMBER(I13/B13),I13/B13," - ")</f>
        <v>1175.6666666666667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1465</v>
      </c>
      <c r="D16" s="404">
        <f>IF(ISNUMBER(C16/Datos!BH16),C16/Datos!BH16," - ")</f>
        <v>488.33333333333331</v>
      </c>
      <c r="E16" s="403">
        <f>IF(ISNUMBER(IF(D_I="SI",Datos!J16,Datos!J16+Datos!AD16)),IF(D_I="SI",Datos!J16,Datos!J16+Datos!AD16)," - ")</f>
        <v>981</v>
      </c>
      <c r="F16" s="404">
        <f>IF(ISNUMBER(E16/B16),E16/B16," - ")</f>
        <v>327</v>
      </c>
      <c r="G16" s="403">
        <f>IF(ISNUMBER(IF(D_I="SI",Datos!K16,Datos!K16+Datos!AE16)),IF(D_I="SI",Datos!K16,Datos!K16+Datos!AE16)," - ")</f>
        <v>973</v>
      </c>
      <c r="H16" s="404">
        <f>IF(ISNUMBER(G16/B16),G16/B16," - ")</f>
        <v>324.33333333333331</v>
      </c>
      <c r="I16" s="403">
        <f>IF(ISNUMBER(IF(D_I="SI",Datos!L16,Datos!L16+Datos!AF16)),IF(D_I="SI",Datos!L16,Datos!L16+Datos!AF16)," - ")</f>
        <v>1286</v>
      </c>
      <c r="J16" s="404">
        <f>IF(ISNUMBER(I16/B16),I16/B16," - ")</f>
        <v>428.66666666666669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84</v>
      </c>
      <c r="D17" s="404">
        <f>IF(ISNUMBER(C17/Datos!BH17),C17/Datos!BH17," - ")</f>
        <v>84</v>
      </c>
      <c r="E17" s="403">
        <f>IF(ISNUMBER(IF(D_I="SI",Datos!J17,Datos!J17+Datos!AD17)),IF(D_I="SI",Datos!J17,Datos!J17+Datos!AD17)," - ")</f>
        <v>43</v>
      </c>
      <c r="F17" s="404">
        <f>IF(ISNUMBER(E17/B17),E17/B17," - ")</f>
        <v>43</v>
      </c>
      <c r="G17" s="403">
        <f>IF(ISNUMBER(IF(D_I="SI",Datos!K17,Datos!K17+Datos!AE17)),IF(D_I="SI",Datos!K17,Datos!K17+Datos!AE17)," - ")</f>
        <v>84</v>
      </c>
      <c r="H17" s="404">
        <f>IF(ISNUMBER(G17/B17),G17/B17," - ")</f>
        <v>84</v>
      </c>
      <c r="I17" s="403">
        <f>IF(ISNUMBER(IF(D_I="SI",Datos!L17,Datos!L17+Datos!AF17)),IF(D_I="SI",Datos!L17,Datos!L17+Datos!AF17)," - ")</f>
        <v>43</v>
      </c>
      <c r="J17" s="404">
        <f>IF(ISNUMBER(I17/B17),I17/B17," - ")</f>
        <v>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1549</v>
      </c>
      <c r="D18" s="850" t="str">
        <f>IF(ISNUMBER(C18/Datos!BI18),C18/Datos!BI18," - ")</f>
        <v xml:space="preserve"> - </v>
      </c>
      <c r="E18" s="849">
        <f>SUBTOTAL(9,E14:E17)</f>
        <v>1024</v>
      </c>
      <c r="F18" s="850">
        <f>IF(ISNUMBER(E18/B18),E18/B18," - ")</f>
        <v>341.33333333333331</v>
      </c>
      <c r="G18" s="849">
        <f>SUBTOTAL(9,G14:G17)</f>
        <v>1057</v>
      </c>
      <c r="H18" s="850">
        <f>IF(ISNUMBER(G18/B18),G18/B18," - ")</f>
        <v>352.33333333333331</v>
      </c>
      <c r="I18" s="849">
        <f>SUBTOTAL(9,I14:I17)</f>
        <v>1329</v>
      </c>
      <c r="J18" s="850">
        <f>IF(ISNUMBER(I18/B18),I18/B18," - ")</f>
        <v>443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5387</v>
      </c>
      <c r="D19" s="795" t="str">
        <f>IF(ISNUMBER(C19/Datos!BI19),C19/Datos!BI19," - ")</f>
        <v xml:space="preserve"> - </v>
      </c>
      <c r="E19" s="794">
        <f>SUBTOTAL(9,E9:E18)</f>
        <v>2398</v>
      </c>
      <c r="F19" s="795">
        <f>IF(ISNUMBER(E19/B19),E19/B19," - ")</f>
        <v>799.33333333333337</v>
      </c>
      <c r="G19" s="794">
        <f>SUBTOTAL(9,G9:G18)</f>
        <v>2308</v>
      </c>
      <c r="H19" s="795">
        <f>IF(ISNUMBER(G19/B19),G19/B19," - ")</f>
        <v>769.33333333333337</v>
      </c>
      <c r="I19" s="794">
        <f>SUBTOTAL(9,I9:I18)</f>
        <v>4856</v>
      </c>
      <c r="J19" s="795">
        <f>IF(ISNUMBER(I19/B19),I19/B19," - ")</f>
        <v>1618.6666666666667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LLZOC1CitwTEnTegllIch515WcM5U6U105wcL5KreFcbtf8gO7QLAG5wXke/ZLpBbn5s5yDtMRQWeVco+QPng==" saltValue="WAyCE1+8vlp8p6IN1QHe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SANTA MARIA DE GUIA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36</v>
      </c>
      <c r="G10" s="684">
        <f>IF(ISNUMBER(Datos!I10),Datos!I10," - ")</f>
        <v>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24.75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286</v>
      </c>
      <c r="AM12" s="690">
        <f>IF(ISNUMBER(Datos!N12+DatosP!N16),Datos!N12+DatosP!N16," - ")</f>
        <v>669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8.4057738572574188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4.3132050431320505E-2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36</v>
      </c>
      <c r="G13" s="938">
        <f t="shared" si="0"/>
        <v>36</v>
      </c>
      <c r="H13" s="938">
        <f t="shared" si="0"/>
        <v>0</v>
      </c>
      <c r="I13" s="940">
        <f t="shared" si="0"/>
        <v>0</v>
      </c>
      <c r="J13" s="939">
        <f t="shared" si="0"/>
        <v>0</v>
      </c>
      <c r="K13" s="939">
        <f t="shared" si="0"/>
        <v>0</v>
      </c>
      <c r="L13" s="941">
        <f t="shared" si="0"/>
        <v>0</v>
      </c>
      <c r="M13" s="941">
        <f t="shared" si="0"/>
        <v>0</v>
      </c>
      <c r="N13" s="939">
        <f t="shared" si="0"/>
        <v>242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112</v>
      </c>
      <c r="AE13" s="939">
        <f t="shared" si="1"/>
        <v>0</v>
      </c>
      <c r="AF13" s="939">
        <f t="shared" si="1"/>
        <v>33</v>
      </c>
      <c r="AG13" s="939">
        <f t="shared" si="1"/>
        <v>0</v>
      </c>
      <c r="AH13" s="939">
        <f t="shared" si="1"/>
        <v>3144</v>
      </c>
      <c r="AI13" s="939">
        <f t="shared" si="1"/>
        <v>0</v>
      </c>
      <c r="AJ13" s="939">
        <f t="shared" si="1"/>
        <v>0</v>
      </c>
      <c r="AK13" s="939">
        <f t="shared" si="1"/>
        <v>0</v>
      </c>
      <c r="AL13" s="939">
        <f t="shared" si="1"/>
        <v>290</v>
      </c>
      <c r="AM13" s="939">
        <f t="shared" si="1"/>
        <v>669</v>
      </c>
      <c r="AN13" s="939">
        <f t="shared" si="1"/>
        <v>0</v>
      </c>
      <c r="AO13" s="939">
        <f t="shared" si="1"/>
        <v>0</v>
      </c>
      <c r="AP13" s="944">
        <f>IF(ISNUMBER(((Datos!L13/Datos!K13)*11)/factor_trimestre),((Datos!L13/Datos!K13)*11)/factor_trimestre," - ")</f>
        <v>8.4991525423728831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-0.1111111111111111</v>
      </c>
      <c r="AU13" s="939" t="str">
        <f>IF(ISNUMBER((DatosP!#REF!-DatosP!#REF!+DatosP!#REF!)/(DatosP!#REF!+DatosP!#REF!-DatosP!#REF!-DatosP!#REF!)),(DatosP!#REF!-DatosP!#REF!+DatosP!#REF!)/(DatosP!#REF!+DatosP!#REF!-DatosP!#REF!-DatosP!#REF!)," - ")</f>
        <v xml:space="preserve"> - </v>
      </c>
      <c r="AV13" s="945">
        <f>SUBTOTAL(9,AV9:AV12)</f>
        <v>4.3132050431320505E-2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3.7719962157048248</v>
      </c>
      <c r="AQ18" s="944">
        <f>IF(ISNUMBER(((Datos!M18/Datos!L18)*11)/factor_trimestre),((Datos!M18/Datos!L18)*11)/factor_trimestre," - ")</f>
        <v>0.43566591422121898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-0.21621621621621623</v>
      </c>
      <c r="AW18" s="946">
        <f>IF(ISNUMBER((Datos!Q18-Datos!R18)/(Datos!S18-Datos!Q18+Datos!R18)),(Datos!Q18-Datos!R18)/(Datos!S18-Datos!Q18+Datos!R18)," - ")</f>
        <v>-2.9819694868238558E-2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36</v>
      </c>
      <c r="G19" s="951">
        <f t="shared" si="4"/>
        <v>36</v>
      </c>
      <c r="H19" s="951">
        <f t="shared" si="4"/>
        <v>0</v>
      </c>
      <c r="I19" s="952">
        <f t="shared" si="4"/>
        <v>0</v>
      </c>
      <c r="J19" s="953">
        <f t="shared" si="4"/>
        <v>0</v>
      </c>
      <c r="K19" s="953">
        <f t="shared" si="4"/>
        <v>0</v>
      </c>
      <c r="L19" s="953">
        <f t="shared" si="4"/>
        <v>0</v>
      </c>
      <c r="M19" s="953">
        <f t="shared" si="4"/>
        <v>0</v>
      </c>
      <c r="N19" s="952">
        <f t="shared" si="4"/>
        <v>242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112</v>
      </c>
      <c r="AE19" s="957">
        <f t="shared" si="5"/>
        <v>0</v>
      </c>
      <c r="AF19" s="958">
        <f t="shared" si="5"/>
        <v>33</v>
      </c>
      <c r="AG19" s="958">
        <f t="shared" si="5"/>
        <v>0</v>
      </c>
      <c r="AH19" s="958">
        <f t="shared" si="5"/>
        <v>3144</v>
      </c>
      <c r="AI19" s="958">
        <f t="shared" si="5"/>
        <v>0</v>
      </c>
      <c r="AJ19" s="959">
        <f t="shared" si="5"/>
        <v>0</v>
      </c>
      <c r="AK19" s="959">
        <f t="shared" si="5"/>
        <v>0</v>
      </c>
      <c r="AL19" s="951">
        <f t="shared" si="5"/>
        <v>290</v>
      </c>
      <c r="AM19" s="951">
        <f t="shared" si="5"/>
        <v>669</v>
      </c>
      <c r="AN19" s="951">
        <f t="shared" si="5"/>
        <v>0</v>
      </c>
      <c r="AO19" s="951">
        <f t="shared" si="5"/>
        <v>0</v>
      </c>
      <c r="AP19" s="951">
        <f>IF(ISNUMBER(((Datos!L19/Datos!K19)*11)/factor_trimestre),((Datos!L19/Datos!K19)*11)/factor_trimestre," - ")</f>
        <v>6.265534197586053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-0.1111111111111111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2.8133791809940606E-2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20.784609690826528</v>
      </c>
      <c r="G21" s="737">
        <f>IF(ISNUMBER(STDEV(G8:G18)),STDEV(G8:G18),"-")</f>
        <v>20.784609690826528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165.13832585643669</v>
      </c>
      <c r="AM21" s="736"/>
      <c r="AN21" s="736">
        <f>IF(ISNUMBER(STDEV(AN8:AN18)),STDEV(AN8:AN18),"-")</f>
        <v>0</v>
      </c>
      <c r="AO21" s="742">
        <f>IF(ISNUMBER(STDEV(AO8:AO18)),STDEV(AO8:AO18),"-")</f>
        <v>0</v>
      </c>
      <c r="AP21" s="779">
        <f>IF(ISNUMBER(STDEV(AP8:AP18)),STDEV(AP8:AP18),"-")</f>
        <v>9.1974952922748834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l2i0GYMXINw3A4zNiZG/su1NgZJsjLCsdbAmJb5XUDtjGfi6H4d+cOm+DDnX2k06uyK/WLQrmAwMEW3gWi9TFQ==" saltValue="X82e460FIgVZ0y2x8MVU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SANTA MARIA DE GUIA DE GRAN CANARIA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3HDBksv/KeqxCDnX2gvXpgonl96CS2oyCbL7Q3tfDYqbufUcZYJyuRgmuAmafoj2JibvslbJIPGKmGsewHCdg==" saltValue="b7TMV3qbqOsW7N8R6gDW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SANTA MARIA DE GUIA DE GRAN CANARIA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286</v>
      </c>
      <c r="E12" s="404">
        <f t="shared" si="0"/>
        <v>95.333333333333329</v>
      </c>
      <c r="F12" s="403">
        <f>IF(ISNUMBER(Datos!N12),Datos!N12," - ")</f>
        <v>669</v>
      </c>
      <c r="G12" s="404">
        <f t="shared" si="1"/>
        <v>223</v>
      </c>
      <c r="H12" s="403">
        <f>IF(ISNUMBER(Datos!O12),Datos!O12," - ")</f>
        <v>365</v>
      </c>
      <c r="I12" s="404">
        <f t="shared" si="2"/>
        <v>121.66666666666667</v>
      </c>
      <c r="BZ12" s="1186">
        <f>Datos!EZ12</f>
        <v>0</v>
      </c>
    </row>
    <row r="13" spans="1:78" ht="14.25" thickTop="1" thickBot="1">
      <c r="A13" s="848" t="str">
        <f>Datos!A13</f>
        <v>TOTAL</v>
      </c>
      <c r="B13" s="849">
        <f>Datos!AP13</f>
        <v>3</v>
      </c>
      <c r="C13" s="851">
        <f>Datos!AR13</f>
        <v>3</v>
      </c>
      <c r="D13" s="849">
        <f>SUBTOTAL(9,D9:D12)</f>
        <v>290</v>
      </c>
      <c r="E13" s="850">
        <f t="shared" si="0"/>
        <v>96.666666666666671</v>
      </c>
      <c r="F13" s="849">
        <f>SUBTOTAL(9,F9:F12)</f>
        <v>669</v>
      </c>
      <c r="G13" s="850">
        <f t="shared" si="1"/>
        <v>223</v>
      </c>
      <c r="H13" s="849">
        <f>SUBTOTAL(9,H9:H12)</f>
        <v>365</v>
      </c>
      <c r="I13" s="850">
        <f>IF(ISNUMBER(H13/B13),H13/B13," - ")</f>
        <v>121.66666666666667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176</v>
      </c>
      <c r="E16" s="404">
        <f t="shared" si="3"/>
        <v>58.666666666666664</v>
      </c>
      <c r="F16" s="403">
        <f>IF(ISNUMBER(Datos!N16),Datos!N16," - ")</f>
        <v>593</v>
      </c>
      <c r="G16" s="404">
        <f t="shared" si="4"/>
        <v>197.66666666666666</v>
      </c>
      <c r="H16" s="403">
        <f>IF(ISNUMBER(Datos!O16),Datos!O16," - ")</f>
        <v>88</v>
      </c>
      <c r="I16" s="404">
        <f t="shared" si="5"/>
        <v>29.333333333333332</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51</v>
      </c>
      <c r="G17" s="404">
        <f>IF(ISNUMBER(F17/B17),F17/B17," - ")</f>
        <v>51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193</v>
      </c>
      <c r="E18" s="850">
        <f t="shared" si="3"/>
        <v>64.333333333333329</v>
      </c>
      <c r="F18" s="849">
        <f>SUBTOTAL(9,F15:F17)</f>
        <v>644</v>
      </c>
      <c r="G18" s="850">
        <f t="shared" si="4"/>
        <v>214.66666666666666</v>
      </c>
      <c r="H18" s="849">
        <f>SUBTOTAL(9,H15:H17)</f>
        <v>88</v>
      </c>
      <c r="I18" s="850">
        <f>IF(ISNUMBER(H18/B18),H18/B18," - ")</f>
        <v>29.333333333333332</v>
      </c>
      <c r="BZ18" s="1186"/>
    </row>
    <row r="19" spans="1:78" ht="14.25" thickTop="1" thickBot="1">
      <c r="A19" s="793" t="str">
        <f>Datos!A19</f>
        <v>TOTAL JURISDICCIONES</v>
      </c>
      <c r="B19" s="794">
        <f>Datos!AP19</f>
        <v>3</v>
      </c>
      <c r="C19" s="794">
        <f>Datos!AR19</f>
        <v>3</v>
      </c>
      <c r="D19" s="794">
        <f>SUBTOTAL(9,D8:D18)</f>
        <v>483</v>
      </c>
      <c r="E19" s="795">
        <f>IF(ISNUMBER(D19/B19),D19/B19," - ")</f>
        <v>161</v>
      </c>
      <c r="F19" s="794">
        <f>SUBTOTAL(9,F8:F18)</f>
        <v>1313</v>
      </c>
      <c r="G19" s="795">
        <f>IF(ISNUMBER(F19/B19),F19/B19," - ")</f>
        <v>437.66666666666669</v>
      </c>
      <c r="H19" s="794">
        <f>SUBTOTAL(9,H8:H18)</f>
        <v>453</v>
      </c>
      <c r="I19" s="795">
        <f>IF(ISNUMBER(H19/B19),H19/B19," - ")</f>
        <v>151</v>
      </c>
    </row>
    <row r="22" spans="1:78">
      <c r="A22" s="391" t="str">
        <f>Criterios!A4</f>
        <v>Fecha Informe: 24 sep. 2024</v>
      </c>
    </row>
    <row r="27" spans="1:78">
      <c r="A27" s="414"/>
    </row>
  </sheetData>
  <sheetProtection algorithmName="SHA-512" hashValue="t8hWC0rMde0rCY9tP2bDG0WCnZneSY1AFCLLAOVxHm6FZmQq5gzoMmD9mOFKFlMfiPuqXpqP8ePhW5oFW/Y75g==" saltValue="2IGbW/vLY1UtenlmrPaHj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SANTA MARIA DE GUIA DE GRAN CANARIA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242</v>
      </c>
      <c r="C12" s="434">
        <f>IF(ISNUMBER(Datos!Q12),Datos!Q12," - ")</f>
        <v>112</v>
      </c>
      <c r="D12" s="408">
        <f>IF(ISNUMBER(Datos!R12),Datos!R12," - ")</f>
        <v>3144</v>
      </c>
    </row>
    <row r="13" spans="1:4" ht="14.25" thickTop="1" thickBot="1">
      <c r="A13" s="848" t="str">
        <f>Datos!A13</f>
        <v>TOTAL</v>
      </c>
      <c r="B13" s="849">
        <f>SUBTOTAL(9,B9:B12)</f>
        <v>242</v>
      </c>
      <c r="C13" s="853">
        <f>SUBTOTAL(9,C9:C12)</f>
        <v>112</v>
      </c>
      <c r="D13" s="851">
        <f>SUBTOTAL(9,D9:D12)</f>
        <v>3144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55</v>
      </c>
      <c r="C16" s="434">
        <f>IF(ISNUMBER(Datos!Q16),Datos!Q16," - ")</f>
        <v>100</v>
      </c>
      <c r="D16" s="408">
        <f>IF(ISNUMBER(Datos!R16),Datos!R16," - ")</f>
        <v>138</v>
      </c>
    </row>
    <row r="17" spans="1:4" ht="13.5" thickBot="1">
      <c r="A17" s="402" t="str">
        <f>Datos!A17</f>
        <v>Jdos. Violencia contra la mujer</v>
      </c>
      <c r="B17" s="433">
        <f>IF(ISNUMBER(Datos!P17),Datos!P17," - ")</f>
        <v>7</v>
      </c>
      <c r="C17" s="434">
        <f>IF(ISNUMBER(Datos!Q17),Datos!Q17," - ")</f>
        <v>2</v>
      </c>
      <c r="D17" s="408">
        <f>IF(ISNUMBER(Datos!R17),Datos!R17," - ")</f>
        <v>7</v>
      </c>
    </row>
    <row r="18" spans="1:4" ht="14.25" thickTop="1" thickBot="1">
      <c r="A18" s="848" t="str">
        <f>Datos!A18</f>
        <v>TOTAL</v>
      </c>
      <c r="B18" s="849">
        <f>SUBTOTAL(9,B15:B17)</f>
        <v>62</v>
      </c>
      <c r="C18" s="853">
        <f>SUBTOTAL(9,C15:C17)</f>
        <v>102</v>
      </c>
      <c r="D18" s="851">
        <f>SUBTOTAL(9,D15:D17)</f>
        <v>145</v>
      </c>
    </row>
    <row r="19" spans="1:4" ht="16.5" customHeight="1" thickTop="1" thickBot="1">
      <c r="A19" s="793" t="str">
        <f>Datos!A19</f>
        <v>TOTAL JURISDICCIONES</v>
      </c>
      <c r="B19" s="798">
        <f>SUBTOTAL(9,B8:B18)</f>
        <v>304</v>
      </c>
      <c r="C19" s="799">
        <f>SUBTOTAL(9,C8:C18)</f>
        <v>214</v>
      </c>
      <c r="D19" s="800">
        <f>SUBTOTAL(9,D8:D18)</f>
        <v>3289</v>
      </c>
    </row>
    <row r="20" spans="1:4" ht="7.5" customHeight="1"/>
    <row r="21" spans="1:4" ht="6" customHeight="1"/>
    <row r="22" spans="1:4">
      <c r="A22" s="391" t="str">
        <f>Criterios!A4</f>
        <v>Fecha Informe: 24 sep. 2024</v>
      </c>
    </row>
    <row r="27" spans="1:4">
      <c r="A27" s="414"/>
    </row>
  </sheetData>
  <sheetProtection algorithmName="SHA-512" hashValue="rEYun5E5AytWWVMnUFCZ5pQJl2S2SM9/HmM9tplzjHX6eBRgMG9fup9ybs0anoNIof8bMp3O5IAkIjiGzLXsHg==" saltValue="LuXQYs0Doe7LpxClBI26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SANTA MARIA DE GUIA DE GRAN CANARIA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-0.21739130434782608</v>
      </c>
      <c r="C10" s="456">
        <f>IF(ISNUMBER((Datos!J10-Datos!T10)/Datos!T10),(Datos!J10-Datos!T10)/Datos!T10," - ")</f>
        <v>-0.75</v>
      </c>
      <c r="D10" s="456">
        <f>IF(ISNUMBER((Datos!K10-Datos!U10)/Datos!U10),(Datos!K10-Datos!U10)/Datos!U10," - ")</f>
        <v>0</v>
      </c>
      <c r="E10" s="456">
        <f>IF(ISNUMBER((Datos!L10-Datos!V10)/Datos!V10),(Datos!L10-Datos!V10)/Datos!V10," - ")</f>
        <v>-0.28260869565217389</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3</v>
      </c>
      <c r="I10" s="456">
        <f>IF(ISNUMBER(((NºAsuntos!I10/NºAsuntos!G10)-Datos!BE10)/Datos!BE10),((NºAsuntos!I10/NºAsuntos!G10)-Datos!BE10)/Datos!BE10," - ")</f>
        <v>-0.28260869565217389</v>
      </c>
      <c r="J10" s="461">
        <f>IF(ISNUMBER((('Resol  Asuntos'!D10/NºAsuntos!G10)-Datos!BF10)/Datos!BF10),(('Resol  Asuntos'!D10/NºAsuntos!G10)-Datos!BF10)/Datos!BF10," - ")</f>
        <v>1</v>
      </c>
      <c r="K10" s="462">
        <f>IF(ISNUMBER((((NºAsuntos!C10+NºAsuntos!E10)/NºAsuntos!G10)-Datos!BG10)/Datos!BG10),(((NºAsuntos!C10+NºAsuntos!E10)/NºAsuntos!G10)-Datos!BG10)/Datos!BG10," - ")</f>
        <v>-0.26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0.18812499999999999</v>
      </c>
      <c r="C12" s="456">
        <f>IF(ISNUMBER(
   IF(J_V="SI",(Datos!J12-Datos!T12)/Datos!T12,(Datos!J12+Datos!Z12-(Datos!T12+Datos!AH12))/(Datos!T12+Datos!AH12))
     ),IF(J_V="SI",(Datos!J12-Datos!T12)/Datos!T12,(Datos!J12+Datos!Z12-(Datos!T12+Datos!AH12))/(Datos!T12+Datos!AH12))," - ")</f>
        <v>-0.17833632555356074</v>
      </c>
      <c r="D12" s="456">
        <f>IF(ISNUMBER(
   IF(J_V="SI",(Datos!K12-Datos!U12)/Datos!U12,(Datos!K12+Datos!AA12-(Datos!U12+Datos!AI12))/(Datos!U12+Datos!AI12))
     ),IF(J_V="SI",(Datos!K12-Datos!U12)/Datos!U12,(Datos!K12+Datos!AA12-(Datos!U12+Datos!AI12))/(Datos!U12+Datos!AI12))," - ")</f>
        <v>0.20599613152804641</v>
      </c>
      <c r="E12" s="456">
        <f>IF(ISNUMBER(
   IF(J_V="SI",(Datos!L12-Datos!V12)/Datos!V12,(Datos!L12+Datos!AB12-(Datos!V12+Datos!AJ12))/(Datos!V12+Datos!AJ12))
     ),IF(J_V="SI",(Datos!L12-Datos!V12)/Datos!V12,(Datos!L12+Datos!AB12-(Datos!V12+Datos!AJ12))/(Datos!V12+Datos!AJ12))," - ")</f>
        <v>-8.9392754756320039E-2</v>
      </c>
      <c r="F12" s="456">
        <f>IF(ISNUMBER((Datos!M12-Datos!W12)/Datos!W12),(Datos!M12-Datos!W12)/Datos!W12," - ")</f>
        <v>0.52127659574468088</v>
      </c>
      <c r="G12" s="457">
        <f>IF(ISNUMBER((Datos!N12-Datos!X12)/Datos!X12),(Datos!N12-Datos!X12)/Datos!X12," - ")</f>
        <v>0.33266932270916333</v>
      </c>
      <c r="H12" s="455">
        <f>IF(ISNUMBER(((NºAsuntos!G12/NºAsuntos!E12)-Datos!BD12)/Datos!BD12),((NºAsuntos!G12/NºAsuntos!E12)-Datos!BD12)/Datos!BD12," - ")</f>
        <v>0.46774911564702515</v>
      </c>
      <c r="I12" s="456">
        <f>IF(ISNUMBER(((NºAsuntos!I12/NºAsuntos!G12)-Datos!BE12)/Datos!BE12),((NºAsuntos!I12/NºAsuntos!G12)-Datos!BE12)/Datos!BE12," - ")</f>
        <v>-0.24493352719970729</v>
      </c>
      <c r="J12" s="461">
        <f>IF(ISNUMBER((('Resol  Asuntos'!D12/NºAsuntos!G12)-Datos!BF12)/Datos!BF12),(('Resol  Asuntos'!D12/NºAsuntos!G12)-Datos!BF12)/Datos!BF12," - ")</f>
        <v>-0.52759291622603421</v>
      </c>
      <c r="K12" s="462">
        <f>IF(ISNUMBER((((NºAsuntos!C12+NºAsuntos!E12)/NºAsuntos!G12)-Datos!BG12)/Datos!BG12),(((NºAsuntos!C12+NºAsuntos!E12)/NºAsuntos!G12)-Datos!BG12)/Datos!BG12," - ")</f>
        <v>-0.11906004095725872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0.18237831176833025</v>
      </c>
      <c r="C13" s="855">
        <f>IF(ISNUMBER(
   IF(J_V="SI",(Datos!J13-Datos!T13)/Datos!T13,(Datos!J13+Datos!Z13-(Datos!T13+Datos!AH13))/(Datos!T13+Datos!AH13))
     ),IF(J_V="SI",(Datos!J13-Datos!T13)/Datos!T13,(Datos!J13+Datos!Z13-(Datos!T13+Datos!AH13))/(Datos!T13+Datos!AH13))," - ")</f>
        <v>-0.17970149253731343</v>
      </c>
      <c r="D13" s="855">
        <f>IF(ISNUMBER(
   IF(J_V="SI",(Datos!K13-Datos!U13)/Datos!U13,(Datos!K13+Datos!AA13-(Datos!U13+Datos!AI13))/(Datos!U13+Datos!AI13))
     ),IF(J_V="SI",(Datos!K13-Datos!U13)/Datos!U13,(Datos!K13+Datos!AA13-(Datos!U13+Datos!AI13))/(Datos!U13+Datos!AI13))," - ")</f>
        <v>0.20520231213872833</v>
      </c>
      <c r="E13" s="855">
        <f>IF(ISNUMBER(
   IF(J_V="SI",(Datos!L13-Datos!V13)/Datos!V13,(Datos!L13+Datos!AB13-(Datos!V13+Datos!AJ13))/(Datos!V13+Datos!AJ13))
     ),IF(J_V="SI",(Datos!L13-Datos!V13)/Datos!V13,(Datos!L13+Datos!AB13-(Datos!V13+Datos!AJ13))/(Datos!V13+Datos!AJ13))," - ")</f>
        <v>-9.1681689415400461E-2</v>
      </c>
      <c r="F13" s="856">
        <f>IF(ISNUMBER((Datos!M13-Datos!W13)/Datos!W13),(Datos!M13-Datos!W13)/Datos!W13," - ")</f>
        <v>0.52631578947368418</v>
      </c>
      <c r="G13" s="857">
        <f>IF(ISNUMBER((Datos!N13-Datos!X13)/Datos!X13),(Datos!N13-Datos!X13)/Datos!X13," - ")</f>
        <v>0.32738095238095238</v>
      </c>
      <c r="H13" s="857">
        <f>IF(ISNUMBER(((NºAsuntos!G13/NºAsuntos!E13)-Datos!BD13)/Datos!BD13),((NºAsuntos!G13/NºAsuntos!E13)-Datos!BD13)/Datos!BD13," - ")</f>
        <v>0.46922407047479608</v>
      </c>
      <c r="I13" s="857">
        <f>IF(ISNUMBER(((NºAsuntos!I13/NºAsuntos!G13)-Datos!BE13)/Datos!BE13),((NºAsuntos!I13/NºAsuntos!G13)-Datos!BE13)/Datos!BE13," - ")</f>
        <v>-0.24633540656529637</v>
      </c>
      <c r="J13" s="857">
        <f>IF(ISNUMBER((('Resol  Asuntos'!D13/NºAsuntos!G13)-Datos!BF13)/Datos!BF13),(('Resol  Asuntos'!D13/NºAsuntos!G13)-Datos!BF13)/Datos!BF13," - ")</f>
        <v>-0.52257241825587142</v>
      </c>
      <c r="K13" s="857">
        <f>IF(ISNUMBER((((NºAsuntos!C13+NºAsuntos!E13)/NºAsuntos!G13)-Datos!BG13)/Datos!BG13),(((NºAsuntos!C13+NºAsuntos!E13)/NºAsuntos!G13)-Datos!BG13)/Datos!BG13," - ")</f>
        <v>-0.12119790044818435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0.11406844106463879</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8.8366890380313201E-2</v>
      </c>
      <c r="E16" s="456">
        <f>IF(ISNUMBER(
   IF(D_I="SI",(Datos!L16-Datos!V16)/Datos!V16,(Datos!L16+Datos!AF16-(Datos!V16+Datos!AN16))/(Datos!V16+Datos!AN16))
     ),IF(D_I="SI",(Datos!L16-Datos!V16)/Datos!V16,(Datos!L16+Datos!AF16-(Datos!V16+Datos!AN16))/(Datos!V16+Datos!AN16))," - ")</f>
        <v>-8.4697508896797155E-2</v>
      </c>
      <c r="F16" s="456">
        <f>IF(ISNUMBER((Datos!M16-Datos!W16)/Datos!W16),(Datos!M16-Datos!W16)/Datos!W16," - ")</f>
        <v>0.17333333333333334</v>
      </c>
      <c r="G16" s="457">
        <f>IF(ISNUMBER((Datos!N16-Datos!X16)/Datos!X16),(Datos!N16-Datos!X16)/Datos!X16," - ")</f>
        <v>2.7729636048526862E-2</v>
      </c>
      <c r="H16" s="455">
        <f>IF(ISNUMBER(((NºAsuntos!G16/NºAsuntos!E16)-Datos!BD16)/Datos!BD16),((NºAsuntos!G16/NºAsuntos!E16)-Datos!BD16)/Datos!BD16," - ")</f>
        <v>8.8366890380313173E-2</v>
      </c>
      <c r="I16" s="456">
        <f>IF(ISNUMBER(((NºAsuntos!I16/NºAsuntos!G16)-Datos!BE16)/Datos!BE16),((NºAsuntos!I16/NºAsuntos!G16)-Datos!BE16)/Datos!BE16," - ")</f>
        <v>-0.1590129218435114</v>
      </c>
      <c r="J16" s="461">
        <f>IF(ISNUMBER((('Resol  Asuntos'!D16/NºAsuntos!G16)-Datos!BF16)/Datos!BF16),(('Resol  Asuntos'!D16/NºAsuntos!G16)-Datos!BF16)/Datos!BF16," - ")</f>
        <v>7.8067831449126324E-2</v>
      </c>
      <c r="K16" s="462">
        <f>IF(ISNUMBER((((NºAsuntos!C16+NºAsuntos!E16)/NºAsuntos!G16)-Datos!BG16)/Datos!BG16),(((NºAsuntos!C16+NºAsuntos!E16)/NºAsuntos!G16)-Datos!BG16)/Datos!BG16," - ")</f>
        <v>-2.1165546408070172E-2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-0.18867924528301888</v>
      </c>
      <c r="D17" s="456">
        <f>IF(ISNUMBER(
   IF(D_I="SI",(Datos!K17-Datos!U17)/Datos!U17,(Datos!K17+Datos!AE17-(Datos!U17+Datos!AM17))/(Datos!U17+Datos!AM17))
     ),IF(D_I="SI",(Datos!K17-Datos!U17)/Datos!U17,(Datos!K17+Datos!AE17-(Datos!U17+Datos!AM17))/(Datos!U17+Datos!AM17))," - ")</f>
        <v>0.6470588235294118</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-0.29166666666666669</v>
      </c>
      <c r="G17" s="457">
        <f>IF(ISNUMBER((Datos!N17-Datos!X17)/Datos!X17),(Datos!N17-Datos!X17)/Datos!X17," - ")</f>
        <v>0.41666666666666669</v>
      </c>
      <c r="H17" s="455">
        <f>IF(ISNUMBER(((NºAsuntos!G17/NºAsuntos!E17)-Datos!BD17)/Datos!BD17),((NºAsuntos!G17/NºAsuntos!E17)-Datos!BD17)/Datos!BD17," - ")</f>
        <v>1.0300957592339259</v>
      </c>
      <c r="I17" s="456">
        <f>IF(ISNUMBER(((NºAsuntos!I17/NºAsuntos!G17)-Datos!BE17)/Datos!BE17),((NºAsuntos!I17/NºAsuntos!G17)-Datos!BE17)/Datos!BE17," - ")</f>
        <v>-0.69642857142857151</v>
      </c>
      <c r="J17" s="461">
        <f>IF(ISNUMBER((('Resol  Asuntos'!D17/NºAsuntos!G17)-Datos!BF17)/Datos!BF17),(('Resol  Asuntos'!D17/NºAsuntos!G17)-Datos!BF17)/Datos!BF17," - ")</f>
        <v>-0.56994047619047616</v>
      </c>
      <c r="K17" s="462">
        <f>IF(ISNUMBER((((NºAsuntos!C17+NºAsuntos!E17)/NºAsuntos!G17)-Datos!BG17)/Datos!BG17),(((NºAsuntos!C17+NºAsuntos!E17)/NºAsuntos!G17)-Datos!BG17)/Datos!BG17," - ")</f>
        <v>-0.43717413972888425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0.10721944245889921</v>
      </c>
      <c r="C18" s="855">
        <f>IF(ISNUMBER(
   IF(Criterios!B14="SI",(Datos!J18-Datos!T18)/Datos!T18,(Datos!J18+Datos!AD18-(Datos!T18+Datos!AL18))/(Datos!T18+Datos!AL18))
     ),IF(Criterios!B14="SI",(Datos!J18-Datos!T18)/Datos!T18,(Datos!J18+Datos!AD18-(Datos!T18+Datos!AL18))/(Datos!T18+Datos!AL18))," - ")</f>
        <v>-9.6711798839458421E-3</v>
      </c>
      <c r="D18" s="855">
        <f>IF(ISNUMBER(
   IF(Criterios!B14="SI",(Datos!K18-Datos!U18)/Datos!U18,(Datos!K18+Datos!AE18-(Datos!U18+Datos!AM18))/(Datos!U18+Datos!AM18))
     ),IF(Criterios!B14="SI",(Datos!K18-Datos!U18)/Datos!U18,(Datos!K18+Datos!AE18-(Datos!U18+Datos!AM18))/(Datos!U18+Datos!AM18))," - ")</f>
        <v>0.11851851851851852</v>
      </c>
      <c r="E18" s="855">
        <f>IF(ISNUMBER(
   IF(Criterios!B14="SI",(Datos!L18-Datos!V18)/Datos!V18,(Datos!L18+Datos!AF18-(Datos!V18+Datos!AN18))/(Datos!V18+Datos!AN18))
     ),IF(Criterios!B14="SI",(Datos!L18-Datos!V18)/Datos!V18,(Datos!L18+Datos!AF18-(Datos!V18+Datos!AN18))/(Datos!V18+Datos!AN18))," - ")</f>
        <v>-0.10865191146881288</v>
      </c>
      <c r="F18" s="856">
        <f>IF(ISNUMBER((Datos!M18-Datos!W18)/Datos!W18),(Datos!M18-Datos!W18)/Datos!W18," - ")</f>
        <v>0.10919540229885058</v>
      </c>
      <c r="G18" s="857">
        <f>IF(ISNUMBER((Datos!N18-Datos!X18)/Datos!X18),(Datos!N18-Datos!X18)/Datos!X18," - ")</f>
        <v>5.0570962479608482E-2</v>
      </c>
      <c r="H18" s="857">
        <f>IF(ISNUMBER(((NºAsuntos!G18/NºAsuntos!E18)-Datos!BD18)/Datos!BD18),((NºAsuntos!G18/NºAsuntos!E18)-Datos!BD18)/Datos!BD18," - ")</f>
        <v>0.12944155092592591</v>
      </c>
      <c r="I18" s="857">
        <f>IF(ISNUMBER(((NºAsuntos!I18/NºAsuntos!G18)-Datos!BE18)/Datos!BE18),((NºAsuntos!I18/NºAsuntos!G18)-Datos!BE18)/Datos!BE18," - ")</f>
        <v>-0.20309939104827637</v>
      </c>
      <c r="J18" s="857">
        <f>IF(ISNUMBER((('Resol  Asuntos'!D18/NºAsuntos!G18)-Datos!BF18)/Datos!BF18),(('Resol  Asuntos'!D18/NºAsuntos!G18)-Datos!BF18)/Datos!BF18," - ")</f>
        <v>-8.3352363553323289E-3</v>
      </c>
      <c r="K18" s="857">
        <f>IF(ISNUMBER((((NºAsuntos!C18+NºAsuntos!E18)/NºAsuntos!G18)-Datos!BG18)/Datos!BG18),(((NºAsuntos!C18+NºAsuntos!E18)/NºAsuntos!G18)-Datos!BG18)/Datos!BG18," - ")</f>
        <v>-5.4515315079903016E-2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0.1597416576964478</v>
      </c>
      <c r="C19" s="802">
        <f>IF(ISNUMBER(
   IF(J_V="SI",(Datos!J19-Datos!T19)/Datos!T19,(Datos!J19+Datos!Z19-(Datos!T19+Datos!AH19))/(Datos!T19+Datos!AH19))
     ),IF(J_V="SI",(Datos!J19-Datos!T19)/Datos!T19,(Datos!J19+Datos!Z19-(Datos!T19+Datos!AH19))/(Datos!T19+Datos!AH19))," - ")</f>
        <v>-0.11480251015134736</v>
      </c>
      <c r="D19" s="802">
        <f>IF(ISNUMBER(
   IF(J_V="SI",(Datos!K19-Datos!U19)/Datos!U19,(Datos!K19+Datos!AA19-(Datos!U19+Datos!AI19))/(Datos!U19+Datos!AI19))
     ),IF(J_V="SI",(Datos!K19-Datos!U19)/Datos!U19,(Datos!K19+Datos!AA19-(Datos!U19+Datos!AI19))/(Datos!U19+Datos!AI19))," - ")</f>
        <v>0.16389309127584467</v>
      </c>
      <c r="E19" s="802">
        <f>IF(ISNUMBER(
   IF(J_V="SI",(Datos!L19-Datos!V19)/Datos!V19,(Datos!L19+Datos!AB19-(Datos!V19+Datos!AJ19))/(Datos!V19+Datos!AJ19))
     ),IF(J_V="SI",(Datos!L19-Datos!V19)/Datos!V19,(Datos!L19+Datos!AB19-(Datos!V19+Datos!AJ19))/(Datos!V19+Datos!AJ19))," - ")</f>
        <v>-9.6390026051358393E-2</v>
      </c>
      <c r="F19" s="803">
        <f>IF(ISNUMBER((Datos!M19-Datos!W19)/Datos!W19),(Datos!M19-Datos!W19)/Datos!W19," - ")</f>
        <v>0.32692307692307693</v>
      </c>
      <c r="G19" s="804">
        <f>IF(ISNUMBER((Datos!N19-Datos!X19)/Datos!X19),(Datos!N19-Datos!X19)/Datos!X19," - ")</f>
        <v>0.17547000895255147</v>
      </c>
      <c r="H19" s="805">
        <f>IF(ISNUMBER((Tasas!B19-Datos!BD19)/Datos!BD19),(Tasas!B19-Datos!BD19)/Datos!BD19," - ")</f>
        <v>0.31484002679994305</v>
      </c>
      <c r="I19" s="806">
        <f>IF(ISNUMBER((Tasas!C19-Datos!BE19)/Datos!BE19),(Tasas!C19-Datos!BE19)/Datos!BE19," - ")</f>
        <v>-0.22363146519057348</v>
      </c>
      <c r="J19" s="807">
        <f>IF(ISNUMBER((Tasas!D19-Datos!BF19)/Datos!BF19),(Tasas!D19-Datos!BF19)/Datos!BF19," - ")</f>
        <v>-0.38792541525436725</v>
      </c>
      <c r="K19" s="807">
        <f>IF(ISNUMBER((Tasas!E19-Datos!BG19)/Datos!BG19),(Tasas!E19-Datos!BG19)/Datos!BG19," - ")</f>
        <v>-9.0459795279947616E-2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Tm8vb2Fkvgl2du34L7gQ3oqzxLGfRQiL99v0rFOUCxGEx2C9jha5faEA4iqeiOvzYR8I25hOc3M3W8n1OMTpg==" saltValue="b2HqO4bPlB25ZSO6mKwJ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SANTA MARIA DE GUIA DE GRAN CANARIA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8.25</v>
      </c>
      <c r="D10" s="444">
        <f>IF(ISNUMBER('Resol  Asuntos'!D10/NºAsuntos!G10),'Resol  Asuntos'!D10/NºAsuntos!G10," - ")</f>
        <v>1</v>
      </c>
      <c r="E10" s="445">
        <f>IF(ISNUMBER((NºAsuntos!C10+NºAsuntos!E10)/NºAsuntos!G10),(NºAsuntos!C10+NºAsuntos!E10)/NºAsuntos!G10," - ")</f>
        <v>9.25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0.90823015294974507</v>
      </c>
      <c r="C12" s="443">
        <f>IF(ISNUMBER(NºAsuntos!I12/NºAsuntos!G12),NºAsuntos!I12/NºAsuntos!G12," - ")</f>
        <v>2.8019246190858058</v>
      </c>
      <c r="D12" s="444">
        <f>IF(ISNUMBER('Resol  Asuntos'!D12/NºAsuntos!G12),'Resol  Asuntos'!D12/NºAsuntos!G12," - ")</f>
        <v>0.22935044105854049</v>
      </c>
      <c r="E12" s="445">
        <f>IF(ISNUMBER((NºAsuntos!C12+NºAsuntos!E12)/NºAsuntos!G12),(NºAsuntos!C12+NºAsuntos!E12)/NºAsuntos!G12," - ")</f>
        <v>4.1499599037690453</v>
      </c>
      <c r="G12" s="463"/>
    </row>
    <row r="13" spans="1:7" ht="14.25" thickTop="1" thickBot="1">
      <c r="A13" s="848" t="str">
        <f>Datos!A13</f>
        <v>TOTAL</v>
      </c>
      <c r="B13" s="858">
        <f>IF(ISNUMBER(NºAsuntos!G13/NºAsuntos!E13),NºAsuntos!G13/NºAsuntos!E13," - ")</f>
        <v>0.91048034934497812</v>
      </c>
      <c r="C13" s="859">
        <f>IF(ISNUMBER(NºAsuntos!I13/NºAsuntos!G13),NºAsuntos!I13/NºAsuntos!G13," - ")</f>
        <v>2.8193445243804955</v>
      </c>
      <c r="D13" s="860">
        <f>IF(ISNUMBER('Resol  Asuntos'!D13/NºAsuntos!G13),'Resol  Asuntos'!D13/NºAsuntos!G13," - ")</f>
        <v>0.23181454836131096</v>
      </c>
      <c r="E13" s="861">
        <f>IF(ISNUMBER((NºAsuntos!C13+NºAsuntos!E13)/NºAsuntos!G13),(NºAsuntos!C13+NºAsuntos!E13)/NºAsuntos!G13," - ")</f>
        <v>4.1662669864108715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0.99184505606523954</v>
      </c>
      <c r="C16" s="443">
        <f>IF(ISNUMBER(NºAsuntos!I16/NºAsuntos!G16),NºAsuntos!I16/NºAsuntos!G16," - ")</f>
        <v>1.3216855087358685</v>
      </c>
      <c r="D16" s="444">
        <f>IF(ISNUMBER('Resol  Asuntos'!D16/NºAsuntos!G16),'Resol  Asuntos'!D16/NºAsuntos!G16," - ")</f>
        <v>0.18088386433710174</v>
      </c>
      <c r="E16" s="445">
        <f>IF(ISNUMBER((NºAsuntos!C16+NºAsuntos!E16)/NºAsuntos!G16),(NºAsuntos!C16+NºAsuntos!E16)/NºAsuntos!G16," - ")</f>
        <v>2.5138746145940392</v>
      </c>
      <c r="G16" s="463"/>
    </row>
    <row r="17" spans="1:7" ht="13.5" thickBot="1">
      <c r="A17" s="402" t="str">
        <f>Datos!A17</f>
        <v>Jdos. Violencia contra la mujer</v>
      </c>
      <c r="B17" s="442">
        <f>IF(ISNUMBER(NºAsuntos!G17/NºAsuntos!E17),NºAsuntos!G17/NºAsuntos!E17," - ")</f>
        <v>1.9534883720930232</v>
      </c>
      <c r="C17" s="443">
        <f>IF(ISNUMBER(NºAsuntos!I17/NºAsuntos!G17),NºAsuntos!I17/NºAsuntos!G17," - ")</f>
        <v>0.51190476190476186</v>
      </c>
      <c r="D17" s="444">
        <f>IF(ISNUMBER('Resol  Asuntos'!D17/NºAsuntos!G17),'Resol  Asuntos'!D17/NºAsuntos!G17," - ")</f>
        <v>0.20238095238095238</v>
      </c>
      <c r="E17" s="445">
        <f>IF(ISNUMBER((NºAsuntos!C17+NºAsuntos!E17)/NºAsuntos!G17),(NºAsuntos!C17+NºAsuntos!E17)/NºAsuntos!G17," - ")</f>
        <v>1.5119047619047619</v>
      </c>
      <c r="G17" s="463"/>
    </row>
    <row r="18" spans="1:7" ht="14.25" thickTop="1" thickBot="1">
      <c r="A18" s="848" t="str">
        <f>Datos!A18</f>
        <v>TOTAL</v>
      </c>
      <c r="B18" s="858">
        <f>IF(ISNUMBER(NºAsuntos!G18/NºAsuntos!E18),NºAsuntos!G18/NºAsuntos!E18," - ")</f>
        <v>1.0322265625</v>
      </c>
      <c r="C18" s="859">
        <f>IF(ISNUMBER(NºAsuntos!I18/NºAsuntos!G18),NºAsuntos!I18/NºAsuntos!G18," - ")</f>
        <v>1.2573320719016083</v>
      </c>
      <c r="D18" s="862">
        <f>IF(ISNUMBER('Resol  Asuntos'!D18/NºAsuntos!G18),'Resol  Asuntos'!D18/NºAsuntos!G18," - ")</f>
        <v>0.1825922421948912</v>
      </c>
      <c r="E18" s="861">
        <f>IF(ISNUMBER((NºAsuntos!C18+NºAsuntos!E18)/NºAsuntos!G18),(NºAsuntos!C18+NºAsuntos!E18)/NºAsuntos!G18," - ")</f>
        <v>2.4342478713339641</v>
      </c>
      <c r="G18" s="463"/>
    </row>
    <row r="19" spans="1:7" ht="15.75" customHeight="1" thickTop="1" thickBot="1">
      <c r="A19" s="793" t="str">
        <f>Datos!A19</f>
        <v>TOTAL JURISDICCIONES</v>
      </c>
      <c r="B19" s="808">
        <f>IF(ISNUMBER(NºAsuntos!G19/NºAsuntos!E19),NºAsuntos!G19/NºAsuntos!E19," - ")</f>
        <v>0.96246872393661387</v>
      </c>
      <c r="C19" s="809">
        <f>IF(ISNUMBER(NºAsuntos!I19/NºAsuntos!G19),NºAsuntos!I19/NºAsuntos!G19," - ")</f>
        <v>2.1039861351819757</v>
      </c>
      <c r="D19" s="810">
        <f>IF(ISNUMBER('Resol  Asuntos'!D19/NºAsuntos!G19),'Resol  Asuntos'!D19/NºAsuntos!G19," - ")</f>
        <v>0.20927209705372618</v>
      </c>
      <c r="E19" s="811">
        <f>IF(ISNUMBER((NºAsuntos!C19+NºAsuntos!E19)/NºAsuntos!G19),(NºAsuntos!C19+NºAsuntos!E19)/NºAsuntos!G19," - ")</f>
        <v>3.3730502599653378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2kUj58+mNH6ztcS4Q4P+reSQNSxa/47Hb60HsEcqsaDr6OgSZ0ifPWfAaIOF+E/ZTne9bZ8yqskp5dmeI4Yqw==" saltValue="TREyfDGFhx3BIb5dnV+J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SANTA MARIA DE GUIA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36</v>
      </c>
      <c r="G10" s="333">
        <f>IF(ISNUMBER(Datos!I10),Datos!I10," - ")</f>
        <v>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33</v>
      </c>
      <c r="AB10" s="334">
        <f>IF(ISNUMBER(Datos!R10),Datos!R10," - ")</f>
        <v>0</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24.75</v>
      </c>
      <c r="AN10" s="244">
        <f>IF(ISNUMBER('Resol  Asuntos'!D10/NºAsuntos!G10),'Resol  Asuntos'!D10/NºAsuntos!G10," - ")</f>
        <v>1</v>
      </c>
      <c r="AO10" s="245">
        <f>IF(ISNUMBER((NºAsuntos!C10+NºAsuntos!E10)/NºAsuntos!G10),(NºAsuntos!C10+NºAsuntos!E10)/NºAsuntos!G10," - ")</f>
        <v>9.25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112</v>
      </c>
      <c r="Y12" s="334">
        <f t="shared" si="0"/>
        <v>112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286</v>
      </c>
      <c r="AJ12" s="229" t="str">
        <f>IF(ISNUMBER(Datos!BW12),Datos!BW12," - ")</f>
        <v xml:space="preserve"> - </v>
      </c>
      <c r="AK12" s="228" t="str">
        <f>IF(ISNUMBER(Datos!BX12),Datos!BX12," - ")</f>
        <v xml:space="preserve"> - </v>
      </c>
      <c r="AL12" s="243">
        <f>IF(ISNUMBER(NºAsuntos!G12/NºAsuntos!E12),NºAsuntos!G12/NºAsuntos!E12," - ")</f>
        <v>0.90823015294974507</v>
      </c>
      <c r="AM12" s="260">
        <f>IF(ISNUMBER(((NºAsuntos!I12/NºAsuntos!G12)*11)/factor_trimestre),((NºAsuntos!I12/NºAsuntos!G12)*11)/factor_trimestre," - ")</f>
        <v>8.4057738572574188</v>
      </c>
      <c r="AN12" s="244">
        <f>IF(ISNUMBER('Resol  Asuntos'!D12/NºAsuntos!G12),'Resol  Asuntos'!D12/NºAsuntos!G12," - ")</f>
        <v>0.22935044105854049</v>
      </c>
      <c r="AO12" s="245">
        <f>IF(ISNUMBER((NºAsuntos!C12+NºAsuntos!E12)/NºAsuntos!G12),(NºAsuntos!C12+NºAsuntos!E12)/NºAsuntos!G12," - ")</f>
        <v>4.1499599037690453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36</v>
      </c>
      <c r="G13" s="866">
        <f t="shared" si="3"/>
        <v>36</v>
      </c>
      <c r="H13" s="865">
        <f t="shared" si="3"/>
        <v>0</v>
      </c>
      <c r="I13" s="867">
        <f t="shared" si="3"/>
        <v>0</v>
      </c>
      <c r="J13" s="867">
        <f t="shared" si="3"/>
        <v>0</v>
      </c>
      <c r="K13" s="867">
        <f t="shared" si="3"/>
        <v>0</v>
      </c>
      <c r="L13" s="867">
        <f t="shared" si="3"/>
        <v>242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112</v>
      </c>
      <c r="Y13" s="868">
        <f t="shared" si="4"/>
        <v>116</v>
      </c>
      <c r="Z13" s="868">
        <f t="shared" si="4"/>
        <v>0</v>
      </c>
      <c r="AA13" s="868">
        <f t="shared" si="4"/>
        <v>33</v>
      </c>
      <c r="AB13" s="868">
        <f t="shared" si="4"/>
        <v>3144</v>
      </c>
      <c r="AC13" s="868">
        <f t="shared" si="4"/>
        <v>33</v>
      </c>
      <c r="AD13" s="868">
        <f t="shared" si="4"/>
        <v>0</v>
      </c>
      <c r="AE13" s="872">
        <f t="shared" si="4"/>
        <v>0</v>
      </c>
      <c r="AF13" s="865">
        <f t="shared" si="4"/>
        <v>0</v>
      </c>
      <c r="AG13" s="873">
        <f t="shared" si="4"/>
        <v>0</v>
      </c>
      <c r="AH13" s="870">
        <f t="shared" si="4"/>
        <v>0</v>
      </c>
      <c r="AI13" s="865">
        <f t="shared" si="4"/>
        <v>290</v>
      </c>
      <c r="AJ13" s="867">
        <f t="shared" si="4"/>
        <v>0</v>
      </c>
      <c r="AK13" s="870">
        <f>SUBTOTAL(9,AK9:AK12)</f>
        <v>0</v>
      </c>
      <c r="AL13" s="874">
        <f>IF(ISNUMBER(NºAsuntos!G13/NºAsuntos!E13),NºAsuntos!G13/NºAsuntos!E13," - ")</f>
        <v>0.91048034934497812</v>
      </c>
      <c r="AM13" s="874">
        <f>IF(ISNUMBER(((NºAsuntos!I13/NºAsuntos!G13)*11)/factor_trimestre),((NºAsuntos!I13/NºAsuntos!G13)*11)/factor_trimestre," - ")</f>
        <v>8.4580335731414866</v>
      </c>
      <c r="AN13" s="875">
        <f>IF(ISNUMBER('Resol  Asuntos'!D13/NºAsuntos!G13),'Resol  Asuntos'!D13/NºAsuntos!G13," - ")</f>
        <v>0.23181454836131096</v>
      </c>
      <c r="AO13" s="876">
        <f>IF(ISNUMBER((NºAsuntos!C13+NºAsuntos!E13)/NºAsuntos!G13),(NºAsuntos!C13+NºAsuntos!E13)/NºAsuntos!G13," - ")</f>
        <v>4.1662669864108715</v>
      </c>
      <c r="AP13" s="877" t="str">
        <f t="shared" si="2"/>
        <v xml:space="preserve"> - </v>
      </c>
      <c r="AQ13" s="877">
        <f>IF(ISNUMBER((H13-W13+K13)/(F13)),(H13-W13+K13)/(F13)," - ")</f>
        <v>-0.1111111111111111</v>
      </c>
      <c r="AR13" s="878">
        <f>IF(ISNUMBER((Datos!P13-Datos!Q13)/(Datos!R13-Datos!P13+Datos!Q13)),(Datos!P13-Datos!Q13)/(Datos!R13-Datos!P13+Datos!Q13)," - ")</f>
        <v>4.3132050431320505E-2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1278</v>
      </c>
      <c r="G16" s="333">
        <f>IF(ISNUMBER(IF(D_I="SI",Datos!I16,Datos!I16+Datos!AC16)),IF(D_I="SI",Datos!I16,Datos!I16+Datos!AC16)," - ")</f>
        <v>1465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973</v>
      </c>
      <c r="X16" s="226">
        <f>IF(ISNUMBER(Datos!Q16),Datos!Q16," - ")</f>
        <v>100</v>
      </c>
      <c r="Y16" s="334">
        <f t="shared" ref="Y16:Y17" si="7">SUM(W16:X16)</f>
        <v>1073</v>
      </c>
      <c r="Z16" s="335" t="str">
        <f>IF(ISNUMBER(Datos!CC16),Datos!CC16," - ")</f>
        <v xml:space="preserve"> - </v>
      </c>
      <c r="AA16" s="332">
        <f>IF(ISNUMBER(IF(D_I="SI",Datos!L16,Datos!L16+Datos!AF16)),IF(D_I="SI",Datos!L16,Datos!L16+Datos!AF16)," - ")</f>
        <v>1286</v>
      </c>
      <c r="AB16" s="334">
        <f>IF(ISNUMBER(Datos!R16),Datos!R16," - ")</f>
        <v>138</v>
      </c>
      <c r="AC16" s="334">
        <f t="shared" si="6"/>
        <v>1424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176</v>
      </c>
      <c r="AJ16" s="231" t="str">
        <f>IF(ISNUMBER(Datos!BW16),Datos!BW16," - ")</f>
        <v xml:space="preserve"> - </v>
      </c>
      <c r="AK16" s="232" t="str">
        <f>IF(ISNUMBER(Datos!BX16),Datos!BX16," - ")</f>
        <v xml:space="preserve"> - </v>
      </c>
      <c r="AL16" s="243">
        <f>IF(ISNUMBER(NºAsuntos!G16/NºAsuntos!E16),NºAsuntos!G16/NºAsuntos!E16," - ")</f>
        <v>0.99184505606523954</v>
      </c>
      <c r="AM16" s="260">
        <f>IF(ISNUMBER(((NºAsuntos!I16/NºAsuntos!G16)*11)/factor_trimestre),((NºAsuntos!I16/NºAsuntos!G16)*11)/factor_trimestre," - ")</f>
        <v>3.9650565262076061</v>
      </c>
      <c r="AN16" s="244">
        <f>IF(ISNUMBER('Resol  Asuntos'!D16/NºAsuntos!G16),'Resol  Asuntos'!D16/NºAsuntos!G16," - ")</f>
        <v>0.18088386433710174</v>
      </c>
      <c r="AO16" s="245">
        <f>IF(ISNUMBER((NºAsuntos!C16+NºAsuntos!E16)/NºAsuntos!G16),(NºAsuntos!C16+NºAsuntos!E16)/NºAsuntos!G16," - ")</f>
        <v>2.5138746145940392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v>
      </c>
      <c r="X17" s="226">
        <f>IF(ISNUMBER(Datos!Q17),Datos!Q17," - ")</f>
        <v>2</v>
      </c>
      <c r="Y17" s="334">
        <f t="shared" si="7"/>
        <v>86</v>
      </c>
      <c r="Z17" s="335" t="str">
        <f>IF(ISNUMBER(Datos!CC17),Datos!CC17," - ")</f>
        <v xml:space="preserve"> - </v>
      </c>
      <c r="AA17" s="332">
        <f>IF(ISNUMBER(Datos!L17),Datos!L17,"-")</f>
        <v>43</v>
      </c>
      <c r="AB17" s="334">
        <f>IF(ISNUMBER(Datos!R17),Datos!R17," - ")</f>
        <v>7</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1.9534883720930232</v>
      </c>
      <c r="AM17" s="260">
        <f>IF(ISNUMBER(((NºAsuntos!I17/NºAsuntos!G17)*11)/factor_trimestre),((NºAsuntos!I17/NºAsuntos!G17)*11)/factor_trimestre," - ")</f>
        <v>1.5357142857142856</v>
      </c>
      <c r="AN17" s="244">
        <f>IF(ISNUMBER('Resol  Asuntos'!D17/NºAsuntos!G17),'Resol  Asuntos'!D17/NºAsuntos!G17," - ")</f>
        <v>0.20238095238095238</v>
      </c>
      <c r="AO17" s="245">
        <f>IF(ISNUMBER((NºAsuntos!C17+NºAsuntos!E17)/NºAsuntos!G17),(NºAsuntos!C17+NºAsuntos!E17)/NºAsuntos!G17," - ")</f>
        <v>1.5119047619047619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1278</v>
      </c>
      <c r="G18" s="866">
        <f>SUBTOTAL(9,G15:G17)</f>
        <v>1549</v>
      </c>
      <c r="H18" s="865">
        <f t="shared" ref="H18:O18" si="10">SUBTOTAL(9,H14:H17)</f>
        <v>0</v>
      </c>
      <c r="I18" s="867">
        <f t="shared" si="10"/>
        <v>0</v>
      </c>
      <c r="J18" s="867">
        <f t="shared" si="10"/>
        <v>0</v>
      </c>
      <c r="K18" s="867">
        <f t="shared" si="10"/>
        <v>0</v>
      </c>
      <c r="L18" s="867">
        <f t="shared" si="10"/>
        <v>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1057</v>
      </c>
      <c r="X18" s="867">
        <f t="shared" si="11"/>
        <v>102</v>
      </c>
      <c r="Y18" s="868">
        <f t="shared" si="11"/>
        <v>1159</v>
      </c>
      <c r="Z18" s="868">
        <f t="shared" si="11"/>
        <v>0</v>
      </c>
      <c r="AA18" s="868">
        <f t="shared" si="11"/>
        <v>1329</v>
      </c>
      <c r="AB18" s="868">
        <f t="shared" si="11"/>
        <v>145</v>
      </c>
      <c r="AC18" s="868">
        <f t="shared" si="11"/>
        <v>1474</v>
      </c>
      <c r="AD18" s="868">
        <f t="shared" si="11"/>
        <v>0</v>
      </c>
      <c r="AE18" s="872">
        <f t="shared" si="11"/>
        <v>0</v>
      </c>
      <c r="AF18" s="865">
        <f t="shared" si="11"/>
        <v>0</v>
      </c>
      <c r="AG18" s="873">
        <f t="shared" si="11"/>
        <v>0</v>
      </c>
      <c r="AH18" s="870">
        <f t="shared" si="11"/>
        <v>0</v>
      </c>
      <c r="AI18" s="865">
        <f t="shared" si="11"/>
        <v>193</v>
      </c>
      <c r="AJ18" s="867">
        <f t="shared" si="11"/>
        <v>0</v>
      </c>
      <c r="AK18" s="870">
        <f t="shared" si="11"/>
        <v>0</v>
      </c>
      <c r="AL18" s="874">
        <f>IF(ISNUMBER(NºAsuntos!G18/NºAsuntos!E18),NºAsuntos!G18/NºAsuntos!E18," - ")</f>
        <v>1.0322265625</v>
      </c>
      <c r="AM18" s="874">
        <f>IF(ISNUMBER(((NºAsuntos!I18/NºAsuntos!G18)*11)/factor_trimestre),((NºAsuntos!I18/NºAsuntos!G18)*11)/factor_trimestre," - ")</f>
        <v>3.7719962157048248</v>
      </c>
      <c r="AN18" s="875">
        <f>IF(ISNUMBER('Resol  Asuntos'!D18/NºAsuntos!G18),'Resol  Asuntos'!D18/NºAsuntos!G18," - ")</f>
        <v>0.1825922421948912</v>
      </c>
      <c r="AO18" s="876">
        <f>IF(ISNUMBER((NºAsuntos!C18+NºAsuntos!E18)/NºAsuntos!G18),(NºAsuntos!C18+NºAsuntos!E18)/NºAsuntos!G18," - ")</f>
        <v>2.4342478713339641</v>
      </c>
      <c r="AP18" s="877" t="str">
        <f t="shared" si="2"/>
        <v xml:space="preserve"> - </v>
      </c>
      <c r="AQ18" s="877">
        <f>IF(ISNUMBER((H18-W18+K18)/(F18)),(H18-W18+K18)/(F18)," - ")</f>
        <v>-0.82707355242566505</v>
      </c>
      <c r="AR18" s="878">
        <f>IF(ISNUMBER((Datos!P18-Datos!Q18)/(Datos!R18-Datos!P18+Datos!Q18)),(Datos!P18-Datos!Q18)/(Datos!R18-Datos!P18+Datos!Q18)," - ")</f>
        <v>-0.21621621621621623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1314</v>
      </c>
      <c r="G19" s="821">
        <f t="shared" si="13"/>
        <v>1585</v>
      </c>
      <c r="H19" s="820">
        <f t="shared" si="13"/>
        <v>0</v>
      </c>
      <c r="I19" s="822">
        <f t="shared" si="13"/>
        <v>0</v>
      </c>
      <c r="J19" s="822">
        <f t="shared" si="13"/>
        <v>0</v>
      </c>
      <c r="K19" s="881">
        <f t="shared" si="13"/>
        <v>0</v>
      </c>
      <c r="L19" s="822">
        <f t="shared" si="13"/>
        <v>304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1061</v>
      </c>
      <c r="X19" s="821">
        <f t="shared" si="14"/>
        <v>214</v>
      </c>
      <c r="Y19" s="828">
        <f t="shared" si="14"/>
        <v>1275</v>
      </c>
      <c r="Z19" s="828">
        <f t="shared" si="14"/>
        <v>0</v>
      </c>
      <c r="AA19" s="828">
        <f t="shared" si="14"/>
        <v>1362</v>
      </c>
      <c r="AB19" s="828">
        <f t="shared" si="14"/>
        <v>3289</v>
      </c>
      <c r="AC19" s="828">
        <f t="shared" si="14"/>
        <v>1507</v>
      </c>
      <c r="AD19" s="828">
        <f t="shared" si="14"/>
        <v>0</v>
      </c>
      <c r="AE19" s="830">
        <f t="shared" si="14"/>
        <v>0</v>
      </c>
      <c r="AF19" s="831">
        <f t="shared" si="14"/>
        <v>0</v>
      </c>
      <c r="AG19" s="832">
        <f t="shared" si="14"/>
        <v>0</v>
      </c>
      <c r="AH19" s="830">
        <f t="shared" si="14"/>
        <v>0</v>
      </c>
      <c r="AI19" s="820">
        <f t="shared" si="14"/>
        <v>483</v>
      </c>
      <c r="AJ19" s="820">
        <f t="shared" si="14"/>
        <v>0</v>
      </c>
      <c r="AK19" s="830">
        <f t="shared" si="14"/>
        <v>0</v>
      </c>
      <c r="AL19" s="884">
        <f>IF(ISNUMBER(NºAsuntos!G19/NºAsuntos!E19),NºAsuntos!G19/NºAsuntos!E19," - ")</f>
        <v>0.96246872393661387</v>
      </c>
      <c r="AM19" s="885">
        <f>IF(ISNUMBER(((NºAsuntos!I19/NºAsuntos!G19)*11)/factor_trimestre),((NºAsuntos!I19/NºAsuntos!G19)*11)/factor_trimestre," - ")</f>
        <v>6.3119584055459272</v>
      </c>
      <c r="AN19" s="885">
        <f>IF(ISNUMBER('Resol  Asuntos'!D19/NºAsuntos!G19),'Resol  Asuntos'!D19/NºAsuntos!G19," - ")</f>
        <v>0.20927209705372618</v>
      </c>
      <c r="AO19" s="886">
        <f>IF(ISNUMBER((NºAsuntos!C19+NºAsuntos!E19)/NºAsuntos!G19),(NºAsuntos!C19+NºAsuntos!E19)/NºAsuntos!G19," - ")</f>
        <v>3.3730502599653378</v>
      </c>
      <c r="AP19" s="887" t="str">
        <f t="shared" si="2"/>
        <v xml:space="preserve"> - </v>
      </c>
      <c r="AQ19" s="888">
        <f>IF(OR(ISNUMBER(FIND("01",Criterios!A8,1)),ISNUMBER(FIND("02",Criterios!A8,1)),ISNUMBER(FIND("03",Criterios!A8,1)),ISNUMBER(FIND("04",Criterios!A8,1))),(I19-W19+K19)/(F19-K19),(H19-W19+K19)/(F19-K19))</f>
        <v>-0.80745814307458141</v>
      </c>
      <c r="AR19" s="889">
        <f>IF(ISNUMBER((Datos!P19-Datos!Q19)/(Datos!R19-Datos!P19+Datos!Q19)),(Datos!P19-Datos!Q19)/(Datos!R19-Datos!P19+Datos!Q19)," - ")</f>
        <v>2.8133791809940606E-2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717.06903433351522</v>
      </c>
      <c r="G21" s="253">
        <f>IF(ISNUMBER(STDEV(G8:G18)),STDEV(G8:G18),"-")</f>
        <v>797.73021755478214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540.94574589324577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125.61846997953764</v>
      </c>
      <c r="AJ21" s="252">
        <f t="shared" si="18"/>
        <v>0</v>
      </c>
      <c r="AK21" s="254">
        <f t="shared" si="18"/>
        <v>0</v>
      </c>
      <c r="AL21" s="249">
        <f t="shared" si="18"/>
        <v>1.2267628670796862</v>
      </c>
      <c r="AM21" s="250">
        <f t="shared" si="18"/>
        <v>8.4319867543345932</v>
      </c>
      <c r="AN21" s="250">
        <f t="shared" si="18"/>
        <v>0.32513181780576111</v>
      </c>
      <c r="AO21" s="251">
        <f t="shared" si="18"/>
        <v>2.7735639205524212</v>
      </c>
      <c r="AP21" s="291" t="str">
        <f t="shared" si="18"/>
        <v>-</v>
      </c>
      <c r="AQ21" s="292">
        <f t="shared" si="18"/>
        <v>0.50626189732839666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Yr4vipW9plIOh9xcpoB7figvBM/0YPtdrqJNyHYKxQ63x+VMhpqv+w52GD5/0md/0ztc6pmTJ8XJq6Zxh4wjw==" saltValue="MEJsr75J+ELHQHdVzbF/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SANTA MARIA DE GUIA DE GRAN CANARIA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-0.21739130434782608</v>
      </c>
      <c r="E10" s="348">
        <f>IF(ISNUMBER((Datos!J10-Datos!T10)/Datos!T10),(Datos!J10-Datos!T10)/Datos!T10," - ")</f>
        <v>-0.75</v>
      </c>
      <c r="F10" s="348">
        <f>IF(ISNUMBER((Datos!K10-Datos!U10)/Datos!U10),(Datos!K10-Datos!U10)/Datos!U10," - ")</f>
        <v>0</v>
      </c>
      <c r="G10" s="349">
        <f>IF(ISNUMBER((Datos!L10-Datos!V10)/Datos!V10),(Datos!L10-Datos!V10)/Datos!V10," - ")</f>
        <v>-0.28260869565217389</v>
      </c>
      <c r="H10" s="230">
        <f>IF(ISNUMBER((Datos!M10-Datos!W10)/Datos!W10),(Datos!M10-Datos!W10)/Datos!W10," - ")</f>
        <v>1</v>
      </c>
      <c r="I10" s="350">
        <f>IF(ISNUMBER((Tasas!C10-Datos!BE10)/Datos!BE10),(Tasas!C10-Datos!BE10)/Datos!BE10," - ")</f>
        <v>-0.28260869565217389</v>
      </c>
      <c r="J10" s="349">
        <f>IF(ISNUMBER((Tasas!D10-Datos!BF10)/Datos!BF10),(Tasas!D10-Datos!BF10)/Datos!BF10," - ")</f>
        <v>1</v>
      </c>
      <c r="K10" s="351">
        <f>IF(ISNUMBER((Tasas!E10-Datos!BG10)/Datos!BG10),(Tasas!E10-Datos!BG10)/Datos!BG10," - ")</f>
        <v>-0.26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0.52127659574468088</v>
      </c>
      <c r="I12" s="350">
        <f>IF(ISNUMBER((Tasas!C12-Datos!BE12)/Datos!BE12),(Tasas!C12-Datos!BE12)/Datos!BE12," - ")</f>
        <v>-0.24493352719970729</v>
      </c>
      <c r="J12" s="349">
        <f>IF(ISNUMBER((Tasas!D12-Datos!BF12)/Datos!BF12),(Tasas!D12-Datos!BF12)/Datos!BF12," - ")</f>
        <v>-0.52759291622603421</v>
      </c>
      <c r="K12" s="351">
        <f>IF(ISNUMBER((Tasas!E12-Datos!BG12)/Datos!BG12),(Tasas!E12-Datos!BG12)/Datos!BG12," - ")</f>
        <v>-0.11906004095725872</v>
      </c>
      <c r="M12" t="e">
        <f>IF(Monitorios="SI",Datos!CE12,0)</f>
        <v>#REF!</v>
      </c>
      <c r="N12" t="e">
        <f>IF(Monitorios="SI",Datos!CF12,0)</f>
        <v>#REF!</v>
      </c>
      <c r="O12" t="e">
        <f>IF(Monitorios="SI",Datos!CG12,0)</f>
        <v>#REF!</v>
      </c>
      <c r="P12" t="e">
        <f>IF(Monitorios="SI",Datos!CH12,0)</f>
        <v>#REF!</v>
      </c>
      <c r="Q12">
        <f>IF(J_V="SI",0,Datos!AG12)</f>
        <v>157</v>
      </c>
      <c r="R12">
        <f>IF(J_V="SI",0,Datos!AH12)</f>
        <v>84</v>
      </c>
      <c r="S12">
        <f>IF(J_V="SI",0,Datos!AI12)</f>
        <v>69</v>
      </c>
      <c r="T12">
        <f>IF(J_V="SI",0,Datos!AJ12)</f>
        <v>172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0.52631578947368418</v>
      </c>
      <c r="I13" s="357">
        <f>IF(ISNUMBER((Tasas!C13-Datos!BE13)/Datos!BE13),(Tasas!C13-Datos!BE13)/Datos!BE13," - ")</f>
        <v>-0.24633540656529637</v>
      </c>
      <c r="J13" s="355">
        <f>IF(ISNUMBER((Tasas!D13-Datos!BF13)/Datos!BF13),(Tasas!D13-Datos!BF13)/Datos!BF13," - ")</f>
        <v>-0.52257241825587142</v>
      </c>
      <c r="K13" s="358">
        <f>IF(ISNUMBER((Tasas!E13-Datos!BG13)/Datos!BG13),(Tasas!E13-Datos!BG13)/Datos!BG13," - ")</f>
        <v>-0.12119790044818435</v>
      </c>
      <c r="M13" t="e">
        <f>IF(Monitorios="SI",Datos!CE13,0)</f>
        <v>#REF!</v>
      </c>
      <c r="N13" t="e">
        <f>IF(Monitorios="SI",Datos!CF13,0)</f>
        <v>#REF!</v>
      </c>
      <c r="O13" t="e">
        <f>IF(Monitorios="SI",Datos!CG13,0)</f>
        <v>#REF!</v>
      </c>
      <c r="P13" t="e">
        <f>IF(Monitorios="SI",Datos!CH13,0)</f>
        <v>#REF!</v>
      </c>
      <c r="Q13">
        <f>IF(J_V="SI",0,Datos!AG13)</f>
        <v>157</v>
      </c>
      <c r="R13">
        <f>IF(J_V="SI",0,Datos!AH13)</f>
        <v>84</v>
      </c>
      <c r="S13">
        <f>IF(J_V="SI",0,Datos!AI13)</f>
        <v>69</v>
      </c>
      <c r="T13">
        <f>IF(J_V="SI",0,Datos!AJ13)</f>
        <v>172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0.11406844106463879</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8.8366890380313201E-2</v>
      </c>
      <c r="G16" s="349">
        <f>IF(ISNUMBER(
   IF(D_I="SI",(Datos!L16-Datos!V16)/Datos!V16,(Datos!L16+Datos!AF16-(Datos!V16+Datos!AN16))/(Datos!V16+Datos!AN16))
     ),IF(D_I="SI",(Datos!L16-Datos!V16)/Datos!V16,(Datos!L16+Datos!AF16-(Datos!V16+Datos!AN16))/(Datos!V16+Datos!AN16))," - ")</f>
        <v>-8.4697508896797155E-2</v>
      </c>
      <c r="H16" s="230">
        <f>IF(ISNUMBER((Datos!M16-Datos!W16)/Datos!W16),(Datos!M16-Datos!W16)/Datos!W16," - ")</f>
        <v>0.17333333333333334</v>
      </c>
      <c r="I16" s="350">
        <f>IF(ISNUMBER((Tasas!C16-Datos!BE16)/Datos!BE16),(Tasas!C16-Datos!BE16)/Datos!BE16," - ")</f>
        <v>-0.1590129218435114</v>
      </c>
      <c r="J16" s="349">
        <f>IF(ISNUMBER((Tasas!D16-Datos!BF16)/Datos!BF16),(Tasas!D16-Datos!BF16)/Datos!BF16," - ")</f>
        <v>7.8067831449126324E-2</v>
      </c>
      <c r="K16" s="351">
        <f>IF(ISNUMBER((Tasas!E16-Datos!BG16)/Datos!BG16),(Tasas!E16-Datos!BG16)/Datos!BG16," - ")</f>
        <v>-2.1165546408070172E-2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-0.18867924528301888</v>
      </c>
      <c r="F17" s="348">
        <f>IF(ISNUMBER(
   IF(D_I="SI",(Datos!K17-Datos!U17)/Datos!U17,(Datos!K17+Datos!AE17-(Datos!U17+Datos!AM17))/(Datos!U17+Datos!AM17))
     ),IF(D_I="SI",(Datos!K17-Datos!U17)/Datos!U17,(Datos!K17+Datos!AE17-(Datos!U17+Datos!AM17))/(Datos!U17+Datos!AM17))," - ")</f>
        <v>0.6470588235294118</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-0.29166666666666669</v>
      </c>
      <c r="I17" s="350">
        <f>IF(ISNUMBER((Tasas!C17-Datos!BE17)/Datos!BE17),(Tasas!C17-Datos!BE17)/Datos!BE17," - ")</f>
        <v>-0.69642857142857151</v>
      </c>
      <c r="J17" s="349">
        <f>IF(ISNUMBER((Tasas!D17-Datos!BF17)/Datos!BF17),(Tasas!D17-Datos!BF17)/Datos!BF17," - ")</f>
        <v>-0.56994047619047616</v>
      </c>
      <c r="K17" s="351">
        <f>IF(ISNUMBER((Tasas!E17-Datos!BG17)/Datos!BG17),(Tasas!E17-Datos!BG17)/Datos!BG17," - ")</f>
        <v>-0.43717413972888425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0.10721944245889921</v>
      </c>
      <c r="E18" s="354">
        <f>IF(ISNUMBER(
   IF(D_I="SI",(Datos!J18-Datos!T18)/Datos!T18,(Datos!J18+Datos!AD18-(Datos!T18+Datos!AL18))/(Datos!T18+Datos!AL18))
     ),IF(D_I="SI",(Datos!J18-Datos!T18)/Datos!T18,(Datos!J18+Datos!AD18-(Datos!T18+Datos!AL18))/(Datos!T18+Datos!AL18))," - ")</f>
        <v>-9.6711798839458421E-3</v>
      </c>
      <c r="F18" s="354">
        <f>IF(ISNUMBER(
   IF(D_I="SI",(Datos!K18-Datos!U18)/Datos!U18,(Datos!K18+Datos!AE18-(Datos!U18+Datos!AM18))/(Datos!U18+Datos!AM18))
     ),IF(D_I="SI",(Datos!K18-Datos!U18)/Datos!U18,(Datos!K18+Datos!AE18-(Datos!U18+Datos!AM18))/(Datos!U18+Datos!AM18))," - ")</f>
        <v>0.11851851851851852</v>
      </c>
      <c r="G18" s="355">
        <f>IF(ISNUMBER(
   IF(D_I="SI",(Datos!L18-Datos!V18)/Datos!V18,(Datos!L18+Datos!AF18-(Datos!V18+Datos!AN18))/(Datos!V18+Datos!AN18))
     ),IF(D_I="SI",(Datos!L18-Datos!V18)/Datos!V18,(Datos!L18+Datos!AF18-(Datos!V18+Datos!AN18))/(Datos!V18+Datos!AN18))," - ")</f>
        <v>-0.10865191146881288</v>
      </c>
      <c r="H18" s="356">
        <f>IF(ISNUMBER((Datos!M18-Datos!W18)/Datos!W18),(Datos!M18-Datos!W18)/Datos!W18," - ")</f>
        <v>0.10919540229885058</v>
      </c>
      <c r="I18" s="357">
        <f>IF(ISNUMBER((Tasas!C18-Datos!BE18)/Datos!BE18),(Tasas!C18-Datos!BE18)/Datos!BE18," - ")</f>
        <v>-0.20309939104827637</v>
      </c>
      <c r="J18" s="355">
        <f>IF(ISNUMBER((Tasas!D18-Datos!BF18)/Datos!BF18),(Tasas!D18-Datos!BF18)/Datos!BF18," - ")</f>
        <v>-8.3352363553323289E-3</v>
      </c>
      <c r="K18" s="358">
        <f>IF(ISNUMBER((Tasas!E18-Datos!BG18)/Datos!BG18),(Tasas!E18-Datos!BG18)/Datos!BG18," - ")</f>
        <v>-5.4515315079903016E-2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0.1597416576964478</v>
      </c>
      <c r="E19" s="363">
        <f>IF(ISNUMBER(
   IF(J_V="SI",(Datos!J19-Datos!T19)/Datos!T19,(Datos!J19+Datos!Z19-(Datos!T19+Datos!AH19))/(Datos!T19+Datos!AH19))
     ),IF(J_V="SI",(Datos!J19-Datos!T19)/Datos!T19,(Datos!J19+Datos!Z19-(Datos!T19+Datos!AH19))/(Datos!T19+Datos!AH19))," - ")</f>
        <v>-0.11480251015134736</v>
      </c>
      <c r="F19" s="363">
        <f>IF(ISNUMBER(
   IF(J_V="SI",(Datos!K19-Datos!U19)/Datos!U19,(Datos!K19+Datos!AA19-(Datos!U19+Datos!AI19))/(Datos!U19+Datos!AI19))
     ),IF(J_V="SI",(Datos!K19-Datos!U19)/Datos!U19,(Datos!K19+Datos!AA19-(Datos!U19+Datos!AI19))/(Datos!U19+Datos!AI19))," - ")</f>
        <v>0.16389309127584467</v>
      </c>
      <c r="G19" s="364">
        <f>IF(ISNUMBER(
   IF(J_V="SI",(Datos!L19-Datos!V19)/Datos!V19,(Datos!L19+Datos!AB19-(Datos!V19+Datos!AJ19))/(Datos!V19+Datos!AJ19))
     ),IF(J_V="SI",(Datos!L19-Datos!V19)/Datos!V19,(Datos!L19+Datos!AB19-(Datos!V19+Datos!AJ19))/(Datos!V19+Datos!AJ19))," - ")</f>
        <v>-9.6390026051358393E-2</v>
      </c>
      <c r="H19" s="365">
        <f>IF(ISNUMBER((Datos!M19-Datos!W19)/Datos!W19),(Datos!M19-Datos!W19)/Datos!W19," - ")</f>
        <v>0.32692307692307693</v>
      </c>
      <c r="I19" s="362">
        <f>IF(ISNUMBER((Tasas!C19-Datos!BE19)/Datos!BE19),(Tasas!C19-Datos!BE19)/Datos!BE19," - ")</f>
        <v>-0.22363146519057348</v>
      </c>
      <c r="J19" s="363">
        <f>IF(ISNUMBER((Tasas!D19-Datos!BF19)/Datos!BF19),(Tasas!D19-Datos!BF19)/Datos!BF19," - ")</f>
        <v>-0.38792541525436725</v>
      </c>
      <c r="K19" s="364">
        <f>IF(ISNUMBER((Tasas!E19-Datos!BG19)/Datos!BG19),(Tasas!E19-Datos!BG19)/Datos!BG19," - ")</f>
        <v>-9.0459795279947616E-2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0.15466393833280936</v>
      </c>
      <c r="E21" s="278">
        <f t="shared" si="1"/>
        <v>0.35277530955379449</v>
      </c>
      <c r="F21" s="278">
        <f t="shared" si="1"/>
        <v>0.29339125164769975</v>
      </c>
      <c r="G21" s="279">
        <f t="shared" si="1"/>
        <v>0.19211369869786946</v>
      </c>
      <c r="H21" s="285">
        <f t="shared" si="1"/>
        <v>0.44344688460488318</v>
      </c>
      <c r="I21" s="277">
        <f t="shared" si="1"/>
        <v>0.19619490255550537</v>
      </c>
      <c r="J21" s="278">
        <f t="shared" si="1"/>
        <v>0.60530113393392171</v>
      </c>
      <c r="K21" s="279">
        <f t="shared" si="1"/>
        <v>0.15487998389399837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ICEfOjvsjO9xoNqKJunrenw/rhOnynlhECyKvD6ASnT7OG7LFfh5wwOQewQi1vgkj+LARVoxmwyMu9ccnaZBA==" saltValue="mZFgqMPOwabEPEBI+JP8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